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2" windowHeight="5448" activeTab="0"/>
  </bookViews>
  <sheets>
    <sheet name="QT STF19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30" authorId="0">
      <text>
        <r>
          <rPr>
            <b/>
            <sz val="9"/>
            <rFont val="Segoe UI"/>
            <family val="2"/>
          </rPr>
          <t>-3 = MOINS DE SURVIRAGE
+3 = PLUS DE SURVIRAGE</t>
        </r>
      </text>
    </comment>
    <comment ref="B31" authorId="0">
      <text>
        <r>
          <rPr>
            <b/>
            <sz val="9"/>
            <rFont val="Segoe UI"/>
            <family val="2"/>
          </rPr>
          <t>-3 = MOINS DE SURVIRAGE
+3 = PLUS DE SURVIRAGE</t>
        </r>
      </text>
    </comment>
    <comment ref="B33" authorId="0">
      <text>
        <r>
          <rPr>
            <b/>
            <sz val="9"/>
            <rFont val="Segoe UI"/>
            <family val="2"/>
          </rPr>
          <t>DEFAUT = 2
TRACTION=1
COUPLE 0-249 = 1
COUPLE 250-499 =2
COUPLE 500-749 =3
COUPLE 750-1000 = 4
(NM)</t>
        </r>
      </text>
    </comment>
    <comment ref="B29" authorId="0">
      <text>
        <r>
          <rPr>
            <b/>
            <sz val="9"/>
            <rFont val="Tahoma"/>
            <family val="0"/>
          </rPr>
          <t>1 = PNEUS CONFORTS
2 = PNEUS SPORTS
3 = PNEUS COURSES
4 = RACES-CARS PNEUS COURSES</t>
        </r>
      </text>
    </comment>
  </commentList>
</comments>
</file>

<file path=xl/sharedStrings.xml><?xml version="1.0" encoding="utf-8"?>
<sst xmlns="http://schemas.openxmlformats.org/spreadsheetml/2006/main" count="179" uniqueCount="145">
  <si>
    <t>G T 6    Q U I C K    T U N E</t>
  </si>
  <si>
    <t>SUSPENSION</t>
  </si>
  <si>
    <t>VARIABLE PARAMETERS</t>
  </si>
  <si>
    <t>ENTRY/EXIT BALANCE AVERAGE</t>
  </si>
  <si>
    <t>RIDE HEIGHT % OF RANGE</t>
  </si>
  <si>
    <t>SPRING RATE % OF RANGE</t>
  </si>
  <si>
    <t>SPECIFICATIONS VOITURE</t>
  </si>
  <si>
    <t>BASE SPRING RATE VALUE</t>
  </si>
  <si>
    <t>BASE DAMPER VALUE</t>
  </si>
  <si>
    <t>BASE ANTI-ROLL BAR VALUE</t>
  </si>
  <si>
    <t>POIDS (KG)</t>
  </si>
  <si>
    <t>WEIGHT/POWER RATIO</t>
  </si>
  <si>
    <t>DISTRIBUTION POIDS AVANT (%)</t>
  </si>
  <si>
    <t>HORSEPOWER/TORQUE RATIO</t>
  </si>
  <si>
    <t>WEIGHT/POWER SPREAD</t>
  </si>
  <si>
    <t>PARAMETRES SUSPENSION</t>
  </si>
  <si>
    <t>POWERBAND SPREAD</t>
  </si>
  <si>
    <t>GARDE AU SOL AVANT MINI</t>
  </si>
  <si>
    <t>TOTAL SPREAD</t>
  </si>
  <si>
    <t>GARDE AU SOL AVANT MAXI</t>
  </si>
  <si>
    <t>CORRECTED POWER (HP)</t>
  </si>
  <si>
    <t>GARDE AU SOL ARRIERE MINI</t>
  </si>
  <si>
    <t>CORRECTED TORQUE (LB-FT)</t>
  </si>
  <si>
    <t>GARDE AU SOL ARRIERE MAXI</t>
  </si>
  <si>
    <t>CORRECTED WEIGHT DISTRIBUTION</t>
  </si>
  <si>
    <t>TAUX AMORTISS. AVANT PAR DEFAUT</t>
  </si>
  <si>
    <t>TAUX AMORTISS. AVANT MINI</t>
  </si>
  <si>
    <t>FIXED PARAMETERS</t>
  </si>
  <si>
    <t>TAUX AMORTISS. AVANT MAXI</t>
  </si>
  <si>
    <t>WEIGHT/POWER BREAK EVEN</t>
  </si>
  <si>
    <t>TAUX AMORTISS. ARRIERE PAR DEFAUT</t>
  </si>
  <si>
    <t>WEIGHT/POWER MINIMUM</t>
  </si>
  <si>
    <t>TAUX AMORTISS. ARRIERE MINI</t>
  </si>
  <si>
    <t>WEIGHT/POWER MAXIMUM</t>
  </si>
  <si>
    <t>TAUX AMORTISS. ARRIERE MAXI</t>
  </si>
  <si>
    <t>HORSEPOWER/TORQUE BREAK EVEN</t>
  </si>
  <si>
    <t>HORSEPOWER/TORQUE MINIMUM</t>
  </si>
  <si>
    <t>REGLAGES COMPORTEMENT</t>
  </si>
  <si>
    <t>HORSEPOWER/TORQUE MAXIMUM</t>
  </si>
  <si>
    <t>NIVEAU DE SUSPENSION (1-4)</t>
  </si>
  <si>
    <t>-</t>
  </si>
  <si>
    <t>DRIVETRAIN FACTOR (+/-)</t>
  </si>
  <si>
    <t>EQUILIBRE ENTREE VIRAGE (0±3)</t>
  </si>
  <si>
    <t>POWER/WEIGHT FACTOR (+/-)</t>
  </si>
  <si>
    <t>EQUILIBRE SORTIE VIRAGE (0±3)</t>
  </si>
  <si>
    <t>POWERBAND FACTOR(+/-)</t>
  </si>
  <si>
    <t>ANGLE CARROSSAGE DE BASE (DEGREES)</t>
  </si>
  <si>
    <t>FREQ. DECLANCHEMENT DGL (1-4)</t>
  </si>
  <si>
    <t>CARROSSERIE</t>
  </si>
  <si>
    <t>MAXIMUM APPUI AVANT</t>
  </si>
  <si>
    <t>MAXIMUM APPUI ARRIERE</t>
  </si>
  <si>
    <t>OPTIONS</t>
  </si>
  <si>
    <t>UNITE DE PUISSANCE</t>
  </si>
  <si>
    <t>PS</t>
  </si>
  <si>
    <t>NOTES</t>
  </si>
  <si>
    <t>UNITE COUPLE</t>
  </si>
  <si>
    <t>NM</t>
  </si>
  <si>
    <t>N</t>
  </si>
  <si>
    <t>MODELE VOITURE</t>
  </si>
  <si>
    <t>Boite 6 - 0-20-40-60-80-100</t>
  </si>
  <si>
    <t>Valeurs Graphique</t>
  </si>
  <si>
    <t>Axe x</t>
  </si>
  <si>
    <t>Axe y</t>
  </si>
  <si>
    <t>RpMR</t>
  </si>
  <si>
    <t>RpCouple</t>
  </si>
  <si>
    <t>Boite 6 - 0-25-55-85-100-100</t>
  </si>
  <si>
    <t>Boite 6 - 50-60-70-80-90-100</t>
  </si>
  <si>
    <t>Boite 5 - 0-25-50-75-100</t>
  </si>
  <si>
    <t>Boite 7/8 - 0-20-40-65-85-100-100-100</t>
  </si>
  <si>
    <t>Boite 100%</t>
  </si>
  <si>
    <t>Exemple 8</t>
  </si>
  <si>
    <t>Exemple 9</t>
  </si>
  <si>
    <t>Exemple 10</t>
  </si>
  <si>
    <t>REGIME RUPTEUR</t>
  </si>
  <si>
    <t>REGIME ZONE ROUGE</t>
  </si>
  <si>
    <t>REGIME COUPLE MAXI</t>
  </si>
  <si>
    <t>TYPE DE TRANSMISSION</t>
  </si>
  <si>
    <t>POURCENTAGE DE VITESSE FINALE</t>
  </si>
  <si>
    <t>MAXI RAPPORT DE PONT (VITESSE FINALE)</t>
  </si>
  <si>
    <t>MINI RAPPORT DE PONT (VITESSE FINALE)</t>
  </si>
  <si>
    <t>RAPPORT DE PONT A ENTRER</t>
  </si>
  <si>
    <t>VITESSE MINI REGLAGE AUTOMATIQUE</t>
  </si>
  <si>
    <t>RAPPORT DE BOITE DERNIERE VITESSE</t>
  </si>
  <si>
    <t>REGIME MOTEUR MAXI (GRAPHIQUE GT6)</t>
  </si>
  <si>
    <t>DIAMETRE DE ROUE : JANTES + PNEU (POUCE)</t>
  </si>
  <si>
    <t>DEVELOPEMENT ROUE (M)</t>
  </si>
  <si>
    <t>NOMBRE DE RAPPORT DE BOITE</t>
  </si>
  <si>
    <t>PARAMETRES DE BOITE</t>
  </si>
  <si>
    <t>REGLAGE INITIAL DE LA BOITE</t>
  </si>
  <si>
    <t>CHOIX DE LA BOITE</t>
  </si>
  <si>
    <t>VITESSE</t>
  </si>
  <si>
    <t>RAPPORT MINI BOITE</t>
  </si>
  <si>
    <t>RAPPORT MAXI BOITE</t>
  </si>
  <si>
    <t>RAPPORT BOITE</t>
  </si>
  <si>
    <t>VITESSE DE PASSAGE</t>
  </si>
  <si>
    <t>RETOMB. REGIME MOT.</t>
  </si>
  <si>
    <t>(KM/H)</t>
  </si>
  <si>
    <t>(TR/MIN)</t>
  </si>
  <si>
    <t>VITESSE DE POINTE POSSIBLE</t>
  </si>
  <si>
    <t>VITESSE DE POINTE SOUHAITEE</t>
  </si>
  <si>
    <t>PONT RAPPORT FINAL</t>
  </si>
  <si>
    <t>MODELES DE BOITES</t>
  </si>
  <si>
    <t>CORRECTIONS MANUELLE VITESSE DE PASSAGE</t>
  </si>
  <si>
    <t>VIT MIN</t>
  </si>
  <si>
    <t>VIT. MAX</t>
  </si>
  <si>
    <t>RAPPORT BOITE CORR.</t>
  </si>
  <si>
    <t>BOITE CORRIGEE</t>
  </si>
  <si>
    <t>* Si Rouge pas pris en compte</t>
  </si>
  <si>
    <t>VITESSE SOUHAITEE*</t>
  </si>
  <si>
    <t>FWD</t>
  </si>
  <si>
    <t>RWD</t>
  </si>
  <si>
    <t>AWD</t>
  </si>
  <si>
    <t>V4.3 - ©2014 OPPOSITELOCK (B.REED) modif STF1900</t>
  </si>
  <si>
    <t>GARDE AU SOL AVANT</t>
  </si>
  <si>
    <t>GARDE AU SOL ARRIERE</t>
  </si>
  <si>
    <t>TAUX AMORTISSEMENT AVANT</t>
  </si>
  <si>
    <t>TAUX AMORTISSEMENT ARRIERE</t>
  </si>
  <si>
    <t>AMORT. AVANT (COMPR.)</t>
  </si>
  <si>
    <t>AMORT. ARRIERE (COMPR.)</t>
  </si>
  <si>
    <t>AMORT. AVANT (EXTENS.)</t>
  </si>
  <si>
    <t>AMORT. ARRIERE (EXTENS.)</t>
  </si>
  <si>
    <t>BAR ANTI-ROULI AVANT</t>
  </si>
  <si>
    <t>BAR ANTI-ROULI ARRIERE</t>
  </si>
  <si>
    <t>ANGLE CARROSSAGE AVANT</t>
  </si>
  <si>
    <t>ANGLE CARROSSAGE ARRIERE</t>
  </si>
  <si>
    <t>ANGLE ALIGNEMENT AVANT</t>
  </si>
  <si>
    <t>ANGLE ALIGNEMENT ARRIERE</t>
  </si>
  <si>
    <t>AVANT</t>
  </si>
  <si>
    <t>ARRIERE</t>
  </si>
  <si>
    <t>COUPLE INITIAL AVANT</t>
  </si>
  <si>
    <t>SENSIB. ACCELERATION AV.</t>
  </si>
  <si>
    <t>SENSIB. DES FREINS AVANT</t>
  </si>
  <si>
    <t>COUPLE INITIAL ARRIERE</t>
  </si>
  <si>
    <t>SENSIB. ACCELERATION AR.</t>
  </si>
  <si>
    <t>SENSIB. DES FREINS ARRIERE</t>
  </si>
  <si>
    <t>GEOMETRIE DIRECTION</t>
  </si>
  <si>
    <t>EQUILIBRE DES FREINS (ABS ON)</t>
  </si>
  <si>
    <t>DIFFERENTIEL A GLISSEMENT</t>
  </si>
  <si>
    <t>DISTRIBUTION DU COUPLE</t>
  </si>
  <si>
    <t>APPUI</t>
  </si>
  <si>
    <t>INVERSER Av/Ar RESIST. ROULLEMENT(Y/N)</t>
  </si>
  <si>
    <t>Boite 5 forest</t>
  </si>
  <si>
    <t>MID-FIELD  Raceway</t>
  </si>
  <si>
    <t>Toy Supra 3.0 GT Turbo A 88'</t>
  </si>
  <si>
    <t>FR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</si>
</sst>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00"/>
    <numFmt numFmtId="168" formatCode="#"/>
    <numFmt numFmtId="169" formatCode="[$-407]dddd\,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egoe UI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4" applyNumberFormat="0" applyAlignment="0" applyProtection="0"/>
    <xf numFmtId="0" fontId="4" fillId="0" borderId="4" applyNumberFormat="0" applyFill="0" applyAlignment="0" applyProtection="0"/>
    <xf numFmtId="0" fontId="4" fillId="0" borderId="4" applyNumberFormat="0" applyAlignment="0" applyProtection="0"/>
    <xf numFmtId="0" fontId="4" fillId="0" borderId="4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5" applyNumberFormat="0" applyFont="0" applyAlignment="0" applyProtection="0"/>
    <xf numFmtId="0" fontId="4" fillId="0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Alignment="0" applyProtection="0"/>
    <xf numFmtId="0" fontId="4" fillId="0" borderId="7" applyNumberFormat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2" applyNumberFormat="0" applyAlignment="0" applyProtection="0"/>
  </cellStyleXfs>
  <cellXfs count="187">
    <xf numFmtId="0" fontId="0" fillId="0" borderId="0" xfId="0" applyFont="1" applyAlignment="1">
      <alignment/>
    </xf>
    <xf numFmtId="0" fontId="7" fillId="0" borderId="0" xfId="52" applyFont="1" applyFill="1" applyBorder="1" applyAlignment="1" applyProtection="1">
      <alignment horizontal="center" vertical="center"/>
      <protection hidden="1"/>
    </xf>
    <xf numFmtId="0" fontId="7" fillId="0" borderId="0" xfId="52" applyFont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7" fillId="0" borderId="0" xfId="63" applyFont="1" applyAlignment="1" applyProtection="1">
      <alignment horizontal="center" vertical="center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  <xf numFmtId="0" fontId="7" fillId="33" borderId="13" xfId="63" applyFont="1" applyFill="1" applyBorder="1" applyAlignment="1" applyProtection="1">
      <alignment horizontal="center" vertical="center"/>
      <protection hidden="1"/>
    </xf>
    <xf numFmtId="0" fontId="7" fillId="33" borderId="4" xfId="52" applyFont="1" applyFill="1" applyBorder="1" applyAlignment="1" applyProtection="1">
      <alignment horizontal="center" vertical="center"/>
      <protection hidden="1"/>
    </xf>
    <xf numFmtId="1" fontId="7" fillId="0" borderId="0" xfId="63" applyNumberFormat="1" applyFont="1" applyFill="1" applyBorder="1" applyAlignment="1" applyProtection="1">
      <alignment horizontal="center" vertical="center"/>
      <protection/>
    </xf>
    <xf numFmtId="1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7" fillId="34" borderId="4" xfId="63" applyFont="1" applyFill="1" applyBorder="1" applyAlignment="1" applyProtection="1">
      <alignment horizontal="center" vertical="center"/>
      <protection hidden="1"/>
    </xf>
    <xf numFmtId="0" fontId="7" fillId="0" borderId="4" xfId="52" applyNumberFormat="1" applyFont="1" applyFill="1" applyBorder="1" applyAlignment="1" applyProtection="1">
      <alignment horizontal="center" vertical="center"/>
      <protection hidden="1"/>
    </xf>
    <xf numFmtId="1" fontId="7" fillId="0" borderId="4" xfId="52" applyNumberFormat="1" applyFont="1" applyFill="1" applyBorder="1" applyAlignment="1" applyProtection="1">
      <alignment horizontal="center" vertical="center"/>
      <protection hidden="1"/>
    </xf>
    <xf numFmtId="2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45" fillId="0" borderId="0" xfId="64" applyFont="1" applyBorder="1" applyAlignment="1">
      <alignment horizontal="left" vertical="center"/>
      <protection/>
    </xf>
    <xf numFmtId="0" fontId="45" fillId="0" borderId="0" xfId="64" applyFont="1" applyFill="1" applyBorder="1">
      <alignment/>
      <protection/>
    </xf>
    <xf numFmtId="9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7" fillId="34" borderId="7" xfId="63" applyFont="1" applyFill="1" applyBorder="1" applyAlignment="1" applyProtection="1">
      <alignment horizontal="center" vertical="center"/>
      <protection hidden="1"/>
    </xf>
    <xf numFmtId="1" fontId="7" fillId="0" borderId="7" xfId="52" applyNumberFormat="1" applyFont="1" applyFill="1" applyBorder="1" applyAlignment="1" applyProtection="1">
      <alignment horizontal="center" vertical="center"/>
      <protection hidden="1"/>
    </xf>
    <xf numFmtId="164" fontId="7" fillId="0" borderId="0" xfId="63" applyNumberFormat="1" applyFont="1" applyFill="1" applyBorder="1" applyAlignment="1" applyProtection="1">
      <alignment horizontal="center" vertical="center"/>
      <protection/>
    </xf>
    <xf numFmtId="164" fontId="7" fillId="0" borderId="0" xfId="52" applyNumberFormat="1" applyFont="1" applyFill="1" applyBorder="1" applyAlignment="1" applyProtection="1">
      <alignment horizontal="center" vertical="center"/>
      <protection hidden="1"/>
    </xf>
    <xf numFmtId="165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Border="1" applyAlignment="1">
      <alignment/>
    </xf>
    <xf numFmtId="0" fontId="45" fillId="0" borderId="0" xfId="64" applyFont="1" applyFill="1" applyBorder="1" applyAlignment="1">
      <alignment horizontal="center"/>
      <protection/>
    </xf>
    <xf numFmtId="0" fontId="45" fillId="0" borderId="0" xfId="64" applyFont="1" applyAlignment="1">
      <alignment horizontal="left" vertical="center"/>
      <protection/>
    </xf>
    <xf numFmtId="2" fontId="7" fillId="0" borderId="4" xfId="52" applyNumberFormat="1" applyFont="1" applyFill="1" applyBorder="1" applyAlignment="1" applyProtection="1">
      <alignment horizontal="center" vertical="center"/>
      <protection hidden="1"/>
    </xf>
    <xf numFmtId="1" fontId="45" fillId="0" borderId="0" xfId="64" applyNumberFormat="1" applyFont="1" applyFill="1" applyBorder="1" applyAlignment="1">
      <alignment horizontal="center"/>
      <protection/>
    </xf>
    <xf numFmtId="2" fontId="7" fillId="0" borderId="7" xfId="52" applyNumberFormat="1" applyFont="1" applyFill="1" applyBorder="1" applyAlignment="1" applyProtection="1">
      <alignment horizontal="center" vertical="center"/>
      <protection hidden="1"/>
    </xf>
    <xf numFmtId="1" fontId="45" fillId="0" borderId="0" xfId="0" applyNumberFormat="1" applyFont="1" applyAlignment="1">
      <alignment/>
    </xf>
    <xf numFmtId="0" fontId="7" fillId="0" borderId="0" xfId="52" applyFont="1" applyProtection="1">
      <alignment/>
      <protection hidden="1"/>
    </xf>
    <xf numFmtId="3" fontId="45" fillId="0" borderId="0" xfId="64" applyNumberFormat="1" applyFont="1" applyFill="1" applyBorder="1">
      <alignment/>
      <protection/>
    </xf>
    <xf numFmtId="4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7" fillId="35" borderId="6" xfId="52" applyNumberFormat="1" applyFont="1" applyFill="1" applyBorder="1" applyAlignment="1" applyProtection="1">
      <alignment horizontal="center" vertical="center"/>
      <protection locked="0"/>
    </xf>
    <xf numFmtId="0" fontId="7" fillId="0" borderId="0" xfId="63" applyFont="1" applyFill="1" applyBorder="1" applyAlignment="1" applyProtection="1">
      <alignment horizontal="center" vertical="center"/>
      <protection/>
    </xf>
    <xf numFmtId="9" fontId="7" fillId="35" borderId="6" xfId="52" applyNumberFormat="1" applyFont="1" applyFill="1" applyBorder="1" applyAlignment="1" applyProtection="1">
      <alignment horizontal="center" vertical="center"/>
      <protection locked="0"/>
    </xf>
    <xf numFmtId="9" fontId="7" fillId="35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4" xfId="52" applyNumberFormat="1" applyFont="1" applyFill="1" applyBorder="1" applyAlignment="1" applyProtection="1">
      <alignment horizontal="center" vertical="center"/>
      <protection hidden="1"/>
    </xf>
    <xf numFmtId="2" fontId="7" fillId="0" borderId="0" xfId="63" applyNumberFormat="1" applyFont="1" applyFill="1" applyBorder="1" applyAlignment="1" applyProtection="1">
      <alignment horizontal="center" vertical="center"/>
      <protection/>
    </xf>
    <xf numFmtId="164" fontId="7" fillId="0" borderId="7" xfId="52" applyNumberFormat="1" applyFont="1" applyFill="1" applyBorder="1" applyAlignment="1" applyProtection="1">
      <alignment horizontal="center" vertical="center"/>
      <protection hidden="1"/>
    </xf>
    <xf numFmtId="0" fontId="7" fillId="35" borderId="4" xfId="52" applyFont="1" applyFill="1" applyBorder="1" applyAlignment="1" applyProtection="1">
      <alignment horizontal="center" vertical="center"/>
      <protection locked="0"/>
    </xf>
    <xf numFmtId="0" fontId="7" fillId="35" borderId="7" xfId="52" applyFont="1" applyFill="1" applyBorder="1" applyAlignment="1" applyProtection="1">
      <alignment horizontal="center" vertical="center"/>
      <protection locked="0"/>
    </xf>
    <xf numFmtId="2" fontId="7" fillId="35" borderId="4" xfId="52" applyNumberFormat="1" applyFont="1" applyFill="1" applyBorder="1" applyAlignment="1" applyProtection="1">
      <alignment horizontal="center" vertical="center"/>
      <protection locked="0"/>
    </xf>
    <xf numFmtId="0" fontId="7" fillId="34" borderId="14" xfId="63" applyFont="1" applyFill="1" applyBorder="1" applyAlignment="1" applyProtection="1">
      <alignment horizontal="center" vertical="center"/>
      <protection hidden="1"/>
    </xf>
    <xf numFmtId="2" fontId="7" fillId="35" borderId="14" xfId="52" applyNumberFormat="1" applyFont="1" applyFill="1" applyBorder="1" applyAlignment="1" applyProtection="1">
      <alignment horizontal="center" vertical="center"/>
      <protection locked="0"/>
    </xf>
    <xf numFmtId="2" fontId="7" fillId="35" borderId="7" xfId="52" applyNumberFormat="1" applyFont="1" applyFill="1" applyBorder="1" applyAlignment="1" applyProtection="1">
      <alignment horizontal="center" vertical="center"/>
      <protection locked="0"/>
    </xf>
    <xf numFmtId="49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Alignment="1" applyProtection="1">
      <alignment horizontal="center" vertical="center"/>
      <protection hidden="1"/>
    </xf>
    <xf numFmtId="0" fontId="45" fillId="30" borderId="15" xfId="64" applyFont="1" applyFill="1" applyBorder="1" applyAlignment="1">
      <alignment horizontal="center" vertical="center"/>
      <protection/>
    </xf>
    <xf numFmtId="1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45" fillId="30" borderId="16" xfId="64" applyFont="1" applyFill="1" applyBorder="1" applyAlignment="1">
      <alignment horizontal="center" vertical="center"/>
      <protection/>
    </xf>
    <xf numFmtId="0" fontId="7" fillId="35" borderId="6" xfId="52" applyFont="1" applyFill="1" applyBorder="1" applyAlignment="1" applyProtection="1">
      <alignment horizontal="center" vertical="center"/>
      <protection locked="0"/>
    </xf>
    <xf numFmtId="0" fontId="7" fillId="0" borderId="0" xfId="52" applyFont="1">
      <alignment/>
      <protection/>
    </xf>
    <xf numFmtId="167" fontId="7" fillId="0" borderId="0" xfId="52" applyNumberFormat="1" applyFont="1" applyFill="1" applyBorder="1" applyAlignment="1" applyProtection="1">
      <alignment horizontal="center" vertical="center"/>
      <protection hidden="1"/>
    </xf>
    <xf numFmtId="164" fontId="7" fillId="35" borderId="6" xfId="52" applyNumberFormat="1" applyFont="1" applyFill="1" applyBorder="1" applyAlignment="1" applyProtection="1">
      <alignment horizontal="center" vertical="center"/>
      <protection locked="0"/>
    </xf>
    <xf numFmtId="0" fontId="45" fillId="30" borderId="17" xfId="64" applyFont="1" applyFill="1" applyBorder="1" applyAlignment="1">
      <alignment horizontal="center" vertical="center"/>
      <protection/>
    </xf>
    <xf numFmtId="0" fontId="7" fillId="0" borderId="4" xfId="52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quotePrefix="1">
      <alignment/>
    </xf>
    <xf numFmtId="0" fontId="7" fillId="0" borderId="7" xfId="52" applyFont="1" applyFill="1" applyBorder="1" applyAlignment="1" applyProtection="1">
      <alignment horizontal="center" vertical="center"/>
      <protection hidden="1"/>
    </xf>
    <xf numFmtId="1" fontId="7" fillId="0" borderId="4" xfId="52" applyNumberFormat="1" applyFont="1" applyBorder="1" applyAlignment="1" applyProtection="1">
      <alignment horizontal="center" vertical="center"/>
      <protection hidden="1"/>
    </xf>
    <xf numFmtId="10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7" fillId="0" borderId="0" xfId="63" applyFont="1" applyProtection="1">
      <alignment/>
      <protection/>
    </xf>
    <xf numFmtId="49" fontId="7" fillId="35" borderId="6" xfId="52" applyNumberFormat="1" applyFont="1" applyFill="1" applyBorder="1" applyAlignment="1" applyProtection="1">
      <alignment horizontal="center" vertical="center"/>
      <protection locked="0"/>
    </xf>
    <xf numFmtId="168" fontId="7" fillId="0" borderId="0" xfId="52" applyNumberFormat="1" applyFont="1" applyFill="1" applyBorder="1" applyAlignment="1" applyProtection="1">
      <alignment horizontal="center" vertical="center"/>
      <protection hidden="1"/>
    </xf>
    <xf numFmtId="168" fontId="7" fillId="0" borderId="0" xfId="63" applyNumberFormat="1" applyFont="1" applyFill="1" applyBorder="1" applyAlignment="1" applyProtection="1">
      <alignment horizontal="center" vertical="center"/>
      <protection/>
    </xf>
    <xf numFmtId="168" fontId="7" fillId="0" borderId="0" xfId="63" applyNumberFormat="1" applyFont="1" applyFill="1" applyBorder="1" applyAlignment="1" applyProtection="1">
      <alignment horizontal="center" vertical="center"/>
      <protection hidden="1"/>
    </xf>
    <xf numFmtId="166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7" fillId="0" borderId="0" xfId="63" applyFont="1" applyProtection="1">
      <alignment/>
      <protection hidden="1"/>
    </xf>
    <xf numFmtId="3" fontId="45" fillId="0" borderId="0" xfId="64" applyNumberFormat="1" applyFont="1" applyFill="1" applyBorder="1" applyAlignment="1">
      <alignment horizontal="center"/>
      <protection/>
    </xf>
    <xf numFmtId="1" fontId="45" fillId="0" borderId="0" xfId="0" applyNumberFormat="1" applyFont="1" applyAlignment="1">
      <alignment horizontal="center"/>
    </xf>
    <xf numFmtId="0" fontId="7" fillId="33" borderId="6" xfId="63" applyFont="1" applyFill="1" applyBorder="1" applyAlignment="1" applyProtection="1">
      <alignment horizontal="center" vertical="center"/>
      <protection hidden="1"/>
    </xf>
    <xf numFmtId="0" fontId="7" fillId="36" borderId="6" xfId="63" applyFont="1" applyFill="1" applyBorder="1" applyAlignment="1" applyProtection="1">
      <alignment horizontal="center" vertical="center"/>
      <protection locked="0"/>
    </xf>
    <xf numFmtId="0" fontId="46" fillId="37" borderId="6" xfId="63" applyFont="1" applyFill="1" applyBorder="1" applyAlignment="1" applyProtection="1">
      <alignment horizontal="center" vertical="center"/>
      <protection hidden="1"/>
    </xf>
    <xf numFmtId="0" fontId="7" fillId="34" borderId="6" xfId="63" applyNumberFormat="1" applyFont="1" applyFill="1" applyBorder="1" applyAlignment="1" applyProtection="1">
      <alignment horizontal="center" vertical="center"/>
      <protection hidden="1"/>
    </xf>
    <xf numFmtId="0" fontId="7" fillId="34" borderId="7" xfId="63" applyFont="1" applyFill="1" applyBorder="1" applyAlignment="1" applyProtection="1">
      <alignment horizontal="center" vertical="center"/>
      <protection hidden="1"/>
    </xf>
    <xf numFmtId="0" fontId="7" fillId="34" borderId="4" xfId="63" applyFont="1" applyFill="1" applyBorder="1" applyAlignment="1" applyProtection="1">
      <alignment horizontal="center" vertical="center"/>
      <protection hidden="1"/>
    </xf>
    <xf numFmtId="0" fontId="7" fillId="34" borderId="14" xfId="63" applyFont="1" applyFill="1" applyBorder="1" applyAlignment="1" applyProtection="1">
      <alignment horizontal="center" vertical="center"/>
      <protection hidden="1"/>
    </xf>
    <xf numFmtId="0" fontId="6" fillId="37" borderId="18" xfId="52" applyFont="1" applyFill="1" applyBorder="1" applyAlignment="1" applyProtection="1">
      <alignment horizontal="center"/>
      <protection hidden="1"/>
    </xf>
    <xf numFmtId="0" fontId="5" fillId="37" borderId="19" xfId="52" applyFont="1" applyFill="1" applyBorder="1" applyAlignment="1" applyProtection="1">
      <alignment horizontal="center" vertical="top"/>
      <protection hidden="1"/>
    </xf>
    <xf numFmtId="0" fontId="7" fillId="34" borderId="6" xfId="63" applyFont="1" applyFill="1" applyBorder="1" applyAlignment="1" applyProtection="1">
      <alignment horizontal="center" vertical="center"/>
      <protection hidden="1"/>
    </xf>
    <xf numFmtId="0" fontId="7" fillId="34" borderId="20" xfId="63" applyFont="1" applyFill="1" applyBorder="1" applyAlignment="1" applyProtection="1">
      <alignment horizontal="center" vertical="center"/>
      <protection hidden="1"/>
    </xf>
    <xf numFmtId="0" fontId="7" fillId="34" borderId="21" xfId="63" applyFont="1" applyFill="1" applyBorder="1" applyAlignment="1" applyProtection="1">
      <alignment horizontal="center" vertical="center"/>
      <protection hidden="1"/>
    </xf>
    <xf numFmtId="0" fontId="7" fillId="34" borderId="22" xfId="63" applyFont="1" applyFill="1" applyBorder="1" applyAlignment="1" applyProtection="1">
      <alignment horizontal="center" vertical="center"/>
      <protection hidden="1"/>
    </xf>
    <xf numFmtId="0" fontId="7" fillId="34" borderId="23" xfId="63" applyFont="1" applyFill="1" applyBorder="1" applyAlignment="1" applyProtection="1">
      <alignment horizontal="center" vertical="center"/>
      <protection hidden="1"/>
    </xf>
    <xf numFmtId="0" fontId="7" fillId="34" borderId="24" xfId="63" applyFont="1" applyFill="1" applyBorder="1" applyAlignment="1" applyProtection="1">
      <alignment horizontal="center" vertical="center"/>
      <protection hidden="1"/>
    </xf>
    <xf numFmtId="0" fontId="7" fillId="34" borderId="25" xfId="63" applyFont="1" applyFill="1" applyBorder="1" applyAlignment="1" applyProtection="1">
      <alignment horizontal="center" vertical="center"/>
      <protection hidden="1"/>
    </xf>
    <xf numFmtId="9" fontId="45" fillId="38" borderId="26" xfId="56" applyFont="1" applyFill="1" applyBorder="1" applyAlignment="1" applyProtection="1">
      <alignment horizontal="center" vertical="center"/>
      <protection locked="0"/>
    </xf>
    <xf numFmtId="0" fontId="45" fillId="38" borderId="27" xfId="64" applyFont="1" applyFill="1" applyBorder="1" applyAlignment="1" applyProtection="1">
      <alignment horizontal="left"/>
      <protection locked="0"/>
    </xf>
    <xf numFmtId="0" fontId="45" fillId="38" borderId="28" xfId="64" applyFont="1" applyFill="1" applyBorder="1" applyAlignment="1" applyProtection="1">
      <alignment horizontal="left"/>
      <protection locked="0"/>
    </xf>
    <xf numFmtId="0" fontId="45" fillId="38" borderId="29" xfId="64" applyFont="1" applyFill="1" applyBorder="1" applyAlignment="1" applyProtection="1">
      <alignment horizontal="left"/>
      <protection locked="0"/>
    </xf>
    <xf numFmtId="1" fontId="45" fillId="0" borderId="30" xfId="0" applyNumberFormat="1" applyFont="1" applyFill="1" applyBorder="1" applyAlignment="1" applyProtection="1">
      <alignment horizontal="center" vertical="center"/>
      <protection/>
    </xf>
    <xf numFmtId="0" fontId="7" fillId="34" borderId="26" xfId="63" applyFont="1" applyFill="1" applyBorder="1" applyAlignment="1" applyProtection="1">
      <alignment horizontal="center" vertical="center"/>
      <protection hidden="1"/>
    </xf>
    <xf numFmtId="2" fontId="7" fillId="34" borderId="6" xfId="63" applyNumberFormat="1" applyFont="1" applyFill="1" applyBorder="1" applyAlignment="1" applyProtection="1">
      <alignment horizontal="center" vertical="center"/>
      <protection hidden="1"/>
    </xf>
    <xf numFmtId="0" fontId="45" fillId="0" borderId="28" xfId="0" applyFont="1" applyBorder="1" applyAlignment="1">
      <alignment/>
    </xf>
    <xf numFmtId="0" fontId="45" fillId="0" borderId="29" xfId="0" applyFont="1" applyBorder="1" applyAlignment="1">
      <alignment/>
    </xf>
    <xf numFmtId="9" fontId="45" fillId="38" borderId="27" xfId="56" applyFont="1" applyFill="1" applyBorder="1" applyAlignment="1" applyProtection="1">
      <alignment horizontal="center" vertical="center"/>
      <protection locked="0"/>
    </xf>
    <xf numFmtId="9" fontId="45" fillId="38" borderId="28" xfId="56" applyFont="1" applyFill="1" applyBorder="1" applyAlignment="1" applyProtection="1">
      <alignment horizontal="center" vertical="center"/>
      <protection locked="0"/>
    </xf>
    <xf numFmtId="9" fontId="45" fillId="38" borderId="29" xfId="56" applyFont="1" applyFill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/>
      <protection locked="0"/>
    </xf>
    <xf numFmtId="0" fontId="45" fillId="0" borderId="29" xfId="0" applyFont="1" applyBorder="1" applyAlignment="1" applyProtection="1">
      <alignment/>
      <protection locked="0"/>
    </xf>
    <xf numFmtId="166" fontId="45" fillId="0" borderId="26" xfId="64" applyNumberFormat="1" applyFont="1" applyFill="1" applyBorder="1" applyAlignment="1">
      <alignment horizontal="center" vertical="center"/>
      <protection/>
    </xf>
    <xf numFmtId="1" fontId="7" fillId="0" borderId="31" xfId="64" applyNumberFormat="1" applyFont="1" applyFill="1" applyBorder="1" applyAlignment="1">
      <alignment horizontal="center" vertical="center"/>
      <protection/>
    </xf>
    <xf numFmtId="1" fontId="7" fillId="0" borderId="30" xfId="64" applyNumberFormat="1" applyFont="1" applyFill="1" applyBorder="1" applyAlignment="1">
      <alignment horizontal="center" vertical="center"/>
      <protection/>
    </xf>
    <xf numFmtId="1" fontId="45" fillId="0" borderId="17" xfId="0" applyNumberFormat="1" applyFont="1" applyFill="1" applyBorder="1" applyAlignment="1" applyProtection="1">
      <alignment horizontal="center" vertical="center"/>
      <protection/>
    </xf>
    <xf numFmtId="1" fontId="45" fillId="0" borderId="32" xfId="0" applyNumberFormat="1" applyFont="1" applyFill="1" applyBorder="1" applyAlignment="1" applyProtection="1">
      <alignment horizontal="center" vertical="center"/>
      <protection/>
    </xf>
    <xf numFmtId="1" fontId="45" fillId="0" borderId="33" xfId="0" applyNumberFormat="1" applyFont="1" applyFill="1" applyBorder="1" applyAlignment="1" applyProtection="1">
      <alignment horizontal="center" vertical="center"/>
      <protection/>
    </xf>
    <xf numFmtId="166" fontId="45" fillId="0" borderId="30" xfId="64" applyNumberFormat="1" applyFont="1" applyFill="1" applyBorder="1" applyAlignment="1">
      <alignment horizontal="center" vertical="center"/>
      <protection/>
    </xf>
    <xf numFmtId="166" fontId="45" fillId="0" borderId="16" xfId="64" applyNumberFormat="1" applyFont="1" applyFill="1" applyBorder="1" applyAlignment="1">
      <alignment horizontal="center" vertical="center"/>
      <protection/>
    </xf>
    <xf numFmtId="1" fontId="7" fillId="0" borderId="33" xfId="64" applyNumberFormat="1" applyFont="1" applyFill="1" applyBorder="1" applyAlignment="1">
      <alignment horizontal="center" vertical="center"/>
      <protection/>
    </xf>
    <xf numFmtId="1" fontId="7" fillId="0" borderId="34" xfId="64" applyNumberFormat="1" applyFont="1" applyFill="1" applyBorder="1" applyAlignment="1">
      <alignment horizontal="center" vertical="center"/>
      <protection/>
    </xf>
    <xf numFmtId="166" fontId="45" fillId="0" borderId="34" xfId="64" applyNumberFormat="1" applyFont="1" applyFill="1" applyBorder="1" applyAlignment="1">
      <alignment horizontal="center" vertical="center"/>
      <protection/>
    </xf>
    <xf numFmtId="166" fontId="45" fillId="0" borderId="17" xfId="64" applyNumberFormat="1" applyFont="1" applyFill="1" applyBorder="1" applyAlignment="1">
      <alignment horizontal="center" vertical="center"/>
      <protection/>
    </xf>
    <xf numFmtId="0" fontId="45" fillId="0" borderId="26" xfId="64" applyFont="1" applyFill="1" applyBorder="1" applyAlignment="1">
      <alignment horizontal="center"/>
      <protection/>
    </xf>
    <xf numFmtId="1" fontId="45" fillId="38" borderId="26" xfId="64" applyNumberFormat="1" applyFont="1" applyFill="1" applyBorder="1" applyAlignment="1" applyProtection="1">
      <alignment horizontal="center" vertical="center"/>
      <protection locked="0"/>
    </xf>
    <xf numFmtId="1" fontId="45" fillId="0" borderId="34" xfId="0" applyNumberFormat="1" applyFont="1" applyFill="1" applyBorder="1" applyAlignment="1" applyProtection="1">
      <alignment horizontal="center" vertical="center"/>
      <protection/>
    </xf>
    <xf numFmtId="1" fontId="45" fillId="38" borderId="30" xfId="0" applyNumberFormat="1" applyFont="1" applyFill="1" applyBorder="1" applyAlignment="1" applyProtection="1">
      <alignment horizontal="center" vertical="center"/>
      <protection locked="0"/>
    </xf>
    <xf numFmtId="1" fontId="45" fillId="38" borderId="34" xfId="0" applyNumberFormat="1" applyFont="1" applyFill="1" applyBorder="1" applyAlignment="1" applyProtection="1">
      <alignment horizontal="center" vertical="center"/>
      <protection locked="0"/>
    </xf>
    <xf numFmtId="0" fontId="7" fillId="33" borderId="26" xfId="63" applyFont="1" applyFill="1" applyBorder="1" applyAlignment="1" applyProtection="1">
      <alignment horizontal="center" vertical="center" wrapText="1"/>
      <protection hidden="1"/>
    </xf>
    <xf numFmtId="0" fontId="7" fillId="33" borderId="35" xfId="63" applyFont="1" applyFill="1" applyBorder="1" applyAlignment="1" applyProtection="1">
      <alignment horizontal="center" vertical="center" wrapText="1"/>
      <protection hidden="1"/>
    </xf>
    <xf numFmtId="166" fontId="45" fillId="38" borderId="17" xfId="64" applyNumberFormat="1" applyFont="1" applyFill="1" applyBorder="1" applyAlignment="1" applyProtection="1">
      <alignment horizontal="center" vertical="center"/>
      <protection locked="0"/>
    </xf>
    <xf numFmtId="166" fontId="45" fillId="38" borderId="32" xfId="64" applyNumberFormat="1" applyFont="1" applyFill="1" applyBorder="1" applyAlignment="1" applyProtection="1">
      <alignment horizontal="center" vertical="center"/>
      <protection locked="0"/>
    </xf>
    <xf numFmtId="166" fontId="45" fillId="38" borderId="33" xfId="64" applyNumberFormat="1" applyFont="1" applyFill="1" applyBorder="1" applyAlignment="1" applyProtection="1">
      <alignment horizontal="center" vertical="center"/>
      <protection locked="0"/>
    </xf>
    <xf numFmtId="166" fontId="45" fillId="38" borderId="34" xfId="64" applyNumberFormat="1" applyFont="1" applyFill="1" applyBorder="1" applyAlignment="1" applyProtection="1">
      <alignment horizontal="center" vertical="center"/>
      <protection locked="0"/>
    </xf>
    <xf numFmtId="1" fontId="45" fillId="0" borderId="34" xfId="64" applyNumberFormat="1" applyFont="1" applyFill="1" applyBorder="1" applyAlignment="1">
      <alignment horizontal="center" vertical="center"/>
      <protection/>
    </xf>
    <xf numFmtId="1" fontId="45" fillId="0" borderId="15" xfId="0" applyNumberFormat="1" applyFont="1" applyFill="1" applyBorder="1" applyAlignment="1" applyProtection="1">
      <alignment horizontal="center" vertical="center"/>
      <protection/>
    </xf>
    <xf numFmtId="1" fontId="45" fillId="0" borderId="36" xfId="0" applyNumberFormat="1" applyFont="1" applyFill="1" applyBorder="1" applyAlignment="1" applyProtection="1">
      <alignment horizontal="center" vertical="center"/>
      <protection/>
    </xf>
    <xf numFmtId="1" fontId="45" fillId="0" borderId="37" xfId="0" applyNumberFormat="1" applyFont="1" applyFill="1" applyBorder="1" applyAlignment="1" applyProtection="1">
      <alignment horizontal="center" vertical="center"/>
      <protection/>
    </xf>
    <xf numFmtId="166" fontId="45" fillId="38" borderId="16" xfId="64" applyNumberFormat="1" applyFont="1" applyFill="1" applyBorder="1" applyAlignment="1" applyProtection="1">
      <alignment horizontal="center" vertical="center"/>
      <protection locked="0"/>
    </xf>
    <xf numFmtId="166" fontId="45" fillId="38" borderId="0" xfId="64" applyNumberFormat="1" applyFont="1" applyFill="1" applyBorder="1" applyAlignment="1" applyProtection="1">
      <alignment horizontal="center" vertical="center"/>
      <protection locked="0"/>
    </xf>
    <xf numFmtId="166" fontId="45" fillId="38" borderId="31" xfId="64" applyNumberFormat="1" applyFont="1" applyFill="1" applyBorder="1" applyAlignment="1" applyProtection="1">
      <alignment horizontal="center" vertical="center"/>
      <protection locked="0"/>
    </xf>
    <xf numFmtId="166" fontId="45" fillId="38" borderId="30" xfId="64" applyNumberFormat="1" applyFont="1" applyFill="1" applyBorder="1" applyAlignment="1" applyProtection="1">
      <alignment horizontal="center" vertical="center"/>
      <protection locked="0"/>
    </xf>
    <xf numFmtId="1" fontId="45" fillId="0" borderId="30" xfId="64" applyNumberFormat="1" applyFont="1" applyFill="1" applyBorder="1" applyAlignment="1">
      <alignment horizontal="center" vertical="center"/>
      <protection/>
    </xf>
    <xf numFmtId="166" fontId="45" fillId="38" borderId="16" xfId="0" applyNumberFormat="1" applyFont="1" applyFill="1" applyBorder="1" applyAlignment="1" applyProtection="1">
      <alignment horizontal="center" vertical="center"/>
      <protection locked="0"/>
    </xf>
    <xf numFmtId="166" fontId="45" fillId="38" borderId="0" xfId="0" applyNumberFormat="1" applyFont="1" applyFill="1" applyBorder="1" applyAlignment="1" applyProtection="1">
      <alignment horizontal="center" vertical="center"/>
      <protection locked="0"/>
    </xf>
    <xf numFmtId="166" fontId="45" fillId="38" borderId="31" xfId="0" applyNumberFormat="1" applyFont="1" applyFill="1" applyBorder="1" applyAlignment="1" applyProtection="1">
      <alignment horizontal="center" vertical="center"/>
      <protection locked="0"/>
    </xf>
    <xf numFmtId="166" fontId="45" fillId="38" borderId="30" xfId="0" applyNumberFormat="1" applyFont="1" applyFill="1" applyBorder="1" applyAlignment="1" applyProtection="1">
      <alignment horizontal="center" vertical="center"/>
      <protection locked="0"/>
    </xf>
    <xf numFmtId="1" fontId="45" fillId="0" borderId="35" xfId="0" applyNumberFormat="1" applyFont="1" applyFill="1" applyBorder="1" applyAlignment="1" applyProtection="1">
      <alignment horizontal="center" vertical="center"/>
      <protection/>
    </xf>
    <xf numFmtId="1" fontId="45" fillId="0" borderId="35" xfId="64" applyNumberFormat="1" applyFont="1" applyFill="1" applyBorder="1" applyAlignment="1">
      <alignment horizontal="center" vertical="center"/>
      <protection/>
    </xf>
    <xf numFmtId="1" fontId="46" fillId="0" borderId="35" xfId="64" applyNumberFormat="1" applyFont="1" applyFill="1" applyBorder="1" applyAlignment="1">
      <alignment horizontal="center" vertical="center"/>
      <protection/>
    </xf>
    <xf numFmtId="0" fontId="46" fillId="37" borderId="38" xfId="63" applyFont="1" applyFill="1" applyBorder="1" applyAlignment="1" applyProtection="1">
      <alignment horizontal="center" vertical="center"/>
      <protection hidden="1"/>
    </xf>
    <xf numFmtId="0" fontId="46" fillId="37" borderId="32" xfId="63" applyFont="1" applyFill="1" applyBorder="1" applyAlignment="1" applyProtection="1">
      <alignment horizontal="center" vertical="center"/>
      <protection hidden="1"/>
    </xf>
    <xf numFmtId="0" fontId="45" fillId="0" borderId="26" xfId="64" applyFont="1" applyFill="1" applyBorder="1" applyAlignment="1">
      <alignment horizontal="center" vertical="center"/>
      <protection/>
    </xf>
    <xf numFmtId="0" fontId="46" fillId="37" borderId="39" xfId="63" applyFont="1" applyFill="1" applyBorder="1" applyAlignment="1" applyProtection="1">
      <alignment horizontal="center" vertical="center"/>
      <protection hidden="1"/>
    </xf>
    <xf numFmtId="0" fontId="46" fillId="37" borderId="0" xfId="63" applyFont="1" applyFill="1" applyBorder="1" applyAlignment="1" applyProtection="1">
      <alignment horizontal="center" vertical="center"/>
      <protection hidden="1"/>
    </xf>
    <xf numFmtId="0" fontId="45" fillId="38" borderId="26" xfId="64" applyFont="1" applyFill="1" applyBorder="1" applyAlignment="1" applyProtection="1">
      <alignment horizontal="center"/>
      <protection locked="0"/>
    </xf>
    <xf numFmtId="1" fontId="45" fillId="38" borderId="26" xfId="0" applyNumberFormat="1" applyFont="1" applyFill="1" applyBorder="1" applyAlignment="1" applyProtection="1">
      <alignment horizontal="center" vertical="center"/>
      <protection locked="0"/>
    </xf>
    <xf numFmtId="166" fontId="45" fillId="38" borderId="27" xfId="0" applyNumberFormat="1" applyFont="1" applyFill="1" applyBorder="1" applyAlignment="1" applyProtection="1">
      <alignment horizontal="center" vertical="center"/>
      <protection locked="0"/>
    </xf>
    <xf numFmtId="166" fontId="45" fillId="38" borderId="28" xfId="0" applyNumberFormat="1" applyFont="1" applyFill="1" applyBorder="1" applyAlignment="1" applyProtection="1">
      <alignment horizontal="center" vertical="center"/>
      <protection locked="0"/>
    </xf>
    <xf numFmtId="166" fontId="45" fillId="38" borderId="29" xfId="0" applyNumberFormat="1" applyFont="1" applyFill="1" applyBorder="1" applyAlignment="1" applyProtection="1">
      <alignment horizontal="center" vertical="center"/>
      <protection locked="0"/>
    </xf>
    <xf numFmtId="3" fontId="45" fillId="38" borderId="26" xfId="0" applyNumberFormat="1" applyFont="1" applyFill="1" applyBorder="1" applyAlignment="1" applyProtection="1">
      <alignment horizontal="center" vertical="center"/>
      <protection locked="0"/>
    </xf>
    <xf numFmtId="166" fontId="45" fillId="0" borderId="26" xfId="64" applyNumberFormat="1" applyFont="1" applyBorder="1" applyAlignment="1">
      <alignment horizontal="center" vertical="center"/>
      <protection/>
    </xf>
    <xf numFmtId="2" fontId="45" fillId="0" borderId="26" xfId="64" applyNumberFormat="1" applyFont="1" applyBorder="1" applyAlignment="1">
      <alignment horizontal="center" vertical="center"/>
      <protection/>
    </xf>
    <xf numFmtId="3" fontId="7" fillId="0" borderId="27" xfId="64" applyNumberFormat="1" applyFont="1" applyFill="1" applyBorder="1" applyAlignment="1">
      <alignment horizontal="center" vertical="center"/>
      <protection/>
    </xf>
    <xf numFmtId="3" fontId="7" fillId="0" borderId="28" xfId="64" applyNumberFormat="1" applyFont="1" applyFill="1" applyBorder="1" applyAlignment="1">
      <alignment horizontal="center" vertical="center"/>
      <protection/>
    </xf>
    <xf numFmtId="3" fontId="7" fillId="0" borderId="29" xfId="64" applyNumberFormat="1" applyFont="1" applyFill="1" applyBorder="1" applyAlignment="1">
      <alignment horizontal="center" vertical="center"/>
      <protection/>
    </xf>
    <xf numFmtId="166" fontId="45" fillId="38" borderId="27" xfId="64" applyNumberFormat="1" applyFont="1" applyFill="1" applyBorder="1" applyAlignment="1" applyProtection="1">
      <alignment horizontal="center" vertical="center"/>
      <protection locked="0"/>
    </xf>
    <xf numFmtId="166" fontId="45" fillId="38" borderId="28" xfId="64" applyNumberFormat="1" applyFont="1" applyFill="1" applyBorder="1" applyAlignment="1" applyProtection="1">
      <alignment horizontal="center" vertical="center"/>
      <protection locked="0"/>
    </xf>
    <xf numFmtId="166" fontId="45" fillId="38" borderId="29" xfId="64" applyNumberFormat="1" applyFont="1" applyFill="1" applyBorder="1" applyAlignment="1" applyProtection="1">
      <alignment horizontal="center" vertical="center"/>
      <protection locked="0"/>
    </xf>
    <xf numFmtId="166" fontId="45" fillId="0" borderId="27" xfId="64" applyNumberFormat="1" applyFont="1" applyFill="1" applyBorder="1" applyAlignment="1">
      <alignment horizontal="center" vertical="center"/>
      <protection/>
    </xf>
    <xf numFmtId="166" fontId="45" fillId="0" borderId="28" xfId="64" applyNumberFormat="1" applyFont="1" applyFill="1" applyBorder="1" applyAlignment="1">
      <alignment horizontal="center" vertical="center"/>
      <protection/>
    </xf>
    <xf numFmtId="166" fontId="45" fillId="0" borderId="29" xfId="64" applyNumberFormat="1" applyFont="1" applyFill="1" applyBorder="1" applyAlignment="1">
      <alignment horizontal="center" vertical="center"/>
      <protection/>
    </xf>
    <xf numFmtId="1" fontId="7" fillId="0" borderId="37" xfId="64" applyNumberFormat="1" applyFont="1" applyFill="1" applyBorder="1" applyAlignment="1">
      <alignment horizontal="center" vertical="center"/>
      <protection/>
    </xf>
    <xf numFmtId="1" fontId="7" fillId="0" borderId="35" xfId="64" applyNumberFormat="1" applyFont="1" applyFill="1" applyBorder="1" applyAlignment="1">
      <alignment horizontal="center" vertical="center"/>
      <protection/>
    </xf>
    <xf numFmtId="0" fontId="45" fillId="38" borderId="27" xfId="64" applyFont="1" applyFill="1" applyBorder="1" applyAlignment="1" applyProtection="1">
      <alignment horizontal="center" vertical="center"/>
      <protection locked="0"/>
    </xf>
    <xf numFmtId="0" fontId="45" fillId="38" borderId="28" xfId="64" applyFont="1" applyFill="1" applyBorder="1" applyAlignment="1" applyProtection="1">
      <alignment horizontal="center" vertical="center"/>
      <protection locked="0"/>
    </xf>
    <xf numFmtId="0" fontId="45" fillId="38" borderId="29" xfId="64" applyFont="1" applyFill="1" applyBorder="1" applyAlignment="1" applyProtection="1">
      <alignment horizontal="center" vertical="center"/>
      <protection locked="0"/>
    </xf>
    <xf numFmtId="3" fontId="45" fillId="38" borderId="27" xfId="64" applyNumberFormat="1" applyFont="1" applyFill="1" applyBorder="1" applyAlignment="1" applyProtection="1">
      <alignment horizontal="center" vertical="center"/>
      <protection locked="0"/>
    </xf>
    <xf numFmtId="3" fontId="45" fillId="38" borderId="28" xfId="64" applyNumberFormat="1" applyFont="1" applyFill="1" applyBorder="1" applyAlignment="1" applyProtection="1">
      <alignment horizontal="center" vertical="center"/>
      <protection locked="0"/>
    </xf>
    <xf numFmtId="3" fontId="45" fillId="38" borderId="29" xfId="64" applyNumberFormat="1" applyFont="1" applyFill="1" applyBorder="1" applyAlignment="1" applyProtection="1">
      <alignment horizontal="center" vertical="center"/>
      <protection locked="0"/>
    </xf>
    <xf numFmtId="0" fontId="7" fillId="33" borderId="34" xfId="63" applyFont="1" applyFill="1" applyBorder="1" applyAlignment="1" applyProtection="1">
      <alignment horizontal="center" vertical="center" wrapText="1"/>
      <protection hidden="1"/>
    </xf>
    <xf numFmtId="0" fontId="7" fillId="39" borderId="34" xfId="63" applyFont="1" applyFill="1" applyBorder="1" applyAlignment="1" applyProtection="1">
      <alignment horizontal="center" vertical="center" wrapText="1"/>
      <protection hidden="1"/>
    </xf>
    <xf numFmtId="0" fontId="7" fillId="39" borderId="26" xfId="63" applyFont="1" applyFill="1" applyBorder="1" applyAlignment="1" applyProtection="1">
      <alignment horizontal="center" vertical="center" wrapText="1"/>
      <protection hidden="1"/>
    </xf>
    <xf numFmtId="0" fontId="7" fillId="39" borderId="35" xfId="63" applyFont="1" applyFill="1" applyBorder="1" applyAlignment="1" applyProtection="1">
      <alignment horizontal="center" vertical="center" wrapText="1"/>
      <protection hidden="1"/>
    </xf>
    <xf numFmtId="166" fontId="45" fillId="0" borderId="35" xfId="64" applyNumberFormat="1" applyFont="1" applyFill="1" applyBorder="1" applyAlignment="1">
      <alignment horizontal="center" vertical="center"/>
      <protection/>
    </xf>
    <xf numFmtId="166" fontId="45" fillId="0" borderId="15" xfId="64" applyNumberFormat="1" applyFont="1" applyFill="1" applyBorder="1" applyAlignment="1">
      <alignment horizontal="center" vertical="center"/>
      <protection/>
    </xf>
    <xf numFmtId="166" fontId="45" fillId="38" borderId="35" xfId="0" applyNumberFormat="1" applyFont="1" applyFill="1" applyBorder="1" applyAlignment="1" applyProtection="1">
      <alignment horizontal="center" vertical="center"/>
      <protection locked="0"/>
    </xf>
    <xf numFmtId="0" fontId="7" fillId="33" borderId="26" xfId="63" applyFont="1" applyFill="1" applyBorder="1" applyAlignment="1" applyProtection="1">
      <alignment horizontal="center" vertical="center" textRotation="90"/>
      <protection hidden="1"/>
    </xf>
    <xf numFmtId="166" fontId="45" fillId="38" borderId="15" xfId="0" applyNumberFormat="1" applyFont="1" applyFill="1" applyBorder="1" applyAlignment="1" applyProtection="1">
      <alignment horizontal="center" vertical="center"/>
      <protection locked="0"/>
    </xf>
    <xf numFmtId="166" fontId="45" fillId="38" borderId="36" xfId="0" applyNumberFormat="1" applyFont="1" applyFill="1" applyBorder="1" applyAlignment="1" applyProtection="1">
      <alignment horizontal="center" vertical="center"/>
      <protection locked="0"/>
    </xf>
    <xf numFmtId="166" fontId="45" fillId="38" borderId="37" xfId="0" applyNumberFormat="1" applyFont="1" applyFill="1" applyBorder="1" applyAlignment="1" applyProtection="1">
      <alignment horizontal="center" vertical="center"/>
      <protection locked="0"/>
    </xf>
    <xf numFmtId="0" fontId="46" fillId="37" borderId="16" xfId="63" applyFont="1" applyFill="1" applyBorder="1" applyAlignment="1" applyProtection="1">
      <alignment horizontal="center" vertical="center"/>
      <protection hidden="1"/>
    </xf>
    <xf numFmtId="0" fontId="45" fillId="0" borderId="16" xfId="0" applyFont="1" applyBorder="1" applyAlignment="1">
      <alignment horizontal="right" vertical="center" textRotation="90"/>
    </xf>
    <xf numFmtId="0" fontId="45" fillId="0" borderId="31" xfId="0" applyFont="1" applyBorder="1" applyAlignment="1">
      <alignment horizontal="right" vertical="center" textRotation="90"/>
    </xf>
    <xf numFmtId="1" fontId="45" fillId="0" borderId="16" xfId="0" applyNumberFormat="1" applyFont="1" applyFill="1" applyBorder="1" applyAlignment="1" applyProtection="1">
      <alignment horizontal="center" vertical="center"/>
      <protection/>
    </xf>
    <xf numFmtId="1" fontId="45" fillId="0" borderId="0" xfId="0" applyNumberFormat="1" applyFont="1" applyFill="1" applyBorder="1" applyAlignment="1" applyProtection="1">
      <alignment horizontal="center" vertical="center"/>
      <protection/>
    </xf>
    <xf numFmtId="1" fontId="45" fillId="0" borderId="31" xfId="0" applyNumberFormat="1" applyFont="1" applyFill="1" applyBorder="1" applyAlignment="1" applyProtection="1">
      <alignment horizontal="center" vertical="center"/>
      <protection/>
    </xf>
    <xf numFmtId="1" fontId="45" fillId="38" borderId="35" xfId="0" applyNumberFormat="1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Front Anti-Roll Bars" xfId="45"/>
    <cellStyle name="Front Dampers" xfId="46"/>
    <cellStyle name="Front Ride Height" xfId="47"/>
    <cellStyle name="Front Spring Rate" xfId="48"/>
    <cellStyle name="Gut" xfId="49"/>
    <cellStyle name="Comma" xfId="50"/>
    <cellStyle name="Neutral" xfId="51"/>
    <cellStyle name="Normal 2" xfId="52"/>
    <cellStyle name="Notiz" xfId="53"/>
    <cellStyle name="Out Of Range" xfId="54"/>
    <cellStyle name="Percent" xfId="55"/>
    <cellStyle name="Prozent 2" xfId="56"/>
    <cellStyle name="Rear Anti-Roll Bars" xfId="57"/>
    <cellStyle name="Rear Dampers" xfId="58"/>
    <cellStyle name="Rear LSD Decel" xfId="59"/>
    <cellStyle name="Rear Ride Height" xfId="60"/>
    <cellStyle name="Rear Spring Rate" xfId="61"/>
    <cellStyle name="Schlecht" xfId="62"/>
    <cellStyle name="Standard 2" xfId="63"/>
    <cellStyle name="Standard 2 2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dxfs count="26">
    <dxf>
      <font>
        <b/>
        <i val="0"/>
        <u val="none"/>
        <strike val="0"/>
        <sz val="8"/>
        <color indexed="1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>
          <color indexed="63"/>
        </top>
        <bottom style="thin">
          <color indexed="8"/>
        </bottom>
      </border>
    </dxf>
    <dxf>
      <font>
        <b/>
        <i val="0"/>
        <u val="none"/>
        <strike val="0"/>
        <sz val="8"/>
        <color indexed="1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>
          <color indexed="63"/>
        </bottom>
      </border>
    </dxf>
    <dxf>
      <font>
        <b/>
        <i val="0"/>
        <u val="none"/>
        <strike val="0"/>
        <sz val="8"/>
        <color indexed="1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>
          <color indexed="63"/>
        </top>
        <bottom style="thin">
          <color indexed="8"/>
        </bottom>
      </border>
    </dxf>
    <dxf>
      <font>
        <b/>
        <i val="0"/>
        <u val="none"/>
        <strike val="0"/>
        <sz val="8"/>
        <color indexed="1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>
          <color indexed="63"/>
        </bottom>
      </border>
    </dxf>
    <dxf/>
    <dxf/>
    <dxf/>
    <dxf/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u val="none"/>
        <strike val="0"/>
        <sz val="8"/>
        <color indexed="10"/>
      </font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ont>
        <b/>
        <i val="0"/>
        <u val="none"/>
        <strike val="0"/>
        <sz val="8"/>
        <color indexed="10"/>
      </font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ont>
        <b/>
        <i val="0"/>
        <u val="none"/>
        <strike val="0"/>
        <sz val="8"/>
        <color indexed="1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/>
      </border>
    </dxf>
    <dxf>
      <font>
        <b/>
        <i val="0"/>
        <u val="none"/>
        <strike val="0"/>
        <sz val="8"/>
        <color indexed="10"/>
      </font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ont>
        <b/>
        <i val="0"/>
        <u val="none"/>
        <strike val="0"/>
        <sz val="8"/>
        <color indexed="10"/>
      </font>
      <border>
        <left style="thin">
          <color indexed="8"/>
        </left>
        <right style="thin">
          <color indexed="8"/>
        </right>
        <top style="thin">
          <color indexed="8"/>
        </top>
        <bottom/>
      </border>
    </dxf>
    <dxf/>
    <dxf>
      <font>
        <b/>
        <i val="0"/>
        <u val="none"/>
        <strike val="0"/>
        <sz val="8"/>
        <color rgb="FFFF0000"/>
      </font>
      <border>
        <left style="thin">
          <color rgb="FF000000"/>
        </left>
        <right style="thin">
          <color rgb="FF000000"/>
        </right>
        <top style="thin"/>
        <bottom>
          <color rgb="FF000000"/>
        </bottom>
      </border>
    </dxf>
    <dxf>
      <font>
        <b/>
        <i val="0"/>
        <u val="none"/>
        <strike val="0"/>
        <sz val="8"/>
        <color rgb="FFFF0000"/>
      </font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/>
        <i val="0"/>
        <u val="none"/>
        <strike val="0"/>
        <sz val="8"/>
        <color rgb="FFFF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/>
    </dxf>
    <dxf>
      <font>
        <b/>
        <i val="0"/>
        <u val="none"/>
        <strike val="0"/>
        <sz val="8"/>
        <color rgb="FFFF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u val="none"/>
        <strike val="0"/>
        <sz val="8"/>
        <color rgb="FFFF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-0.01225"/>
          <c:w val="0.568"/>
          <c:h val="0.9385"/>
        </c:manualLayout>
      </c:layout>
      <c:scatterChart>
        <c:scatterStyle val="lineMarker"/>
        <c:varyColors val="0"/>
        <c:ser>
          <c:idx val="0"/>
          <c:order val="0"/>
          <c:tx>
            <c:v>Courbe Boite de Vitesse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666699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'QT STF1900'!$AI$5:$AX$5</c:f>
              <c:numCache/>
            </c:numRef>
          </c:xVal>
          <c:yVal>
            <c:numRef>
              <c:f>'QT STF1900'!$AI$6:$AX$6</c:f>
              <c:numCache/>
            </c:numRef>
          </c:yVal>
          <c:smooth val="0"/>
        </c:ser>
        <c:ser>
          <c:idx val="1"/>
          <c:order val="1"/>
          <c:tx>
            <c:v>Zone rouge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'QT STF1900'!$AI$7:$AX$7</c:f>
              <c:numCache/>
            </c:numRef>
          </c:xVal>
          <c:yVal>
            <c:numRef>
              <c:f>'QT STF1900'!$AI$8:$AX$8</c:f>
              <c:numCache/>
            </c:numRef>
          </c:yVal>
          <c:smooth val="0"/>
        </c:ser>
        <c:ser>
          <c:idx val="2"/>
          <c:order val="2"/>
          <c:tx>
            <c:v>Couple maxi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'QT STF1900'!$AI$7:$AX$7</c:f>
              <c:numCache/>
            </c:numRef>
          </c:xVal>
          <c:yVal>
            <c:numRef>
              <c:f>'QT STF1900'!$AI$9:$AX$9</c:f>
              <c:numCache/>
            </c:numRef>
          </c:yVal>
          <c:smooth val="0"/>
        </c:ser>
        <c:ser>
          <c:idx val="3"/>
          <c:order val="3"/>
          <c:tx>
            <c:v>Courbe Boite Vitesse Corr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'QT STF1900'!$AI$11:$AX$11</c:f>
              <c:numCache/>
            </c:numRef>
          </c:xVal>
          <c:yVal>
            <c:numRef>
              <c:f>'QT STF1900'!$AI$12:$AX$12</c:f>
              <c:numCache/>
            </c:numRef>
          </c:yVal>
          <c:smooth val="0"/>
        </c:ser>
        <c:axId val="57685630"/>
        <c:axId val="49408623"/>
      </c:scatterChart>
      <c:valAx>
        <c:axId val="5768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Vitesse (km/h)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08623"/>
        <c:crosses val="autoZero"/>
        <c:crossBetween val="midCat"/>
        <c:dispUnits/>
      </c:valAx>
      <c:valAx>
        <c:axId val="49408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Régime Moteur (Tr/Min)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856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435"/>
          <c:w val="0.34475"/>
          <c:h val="0.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0</xdr:row>
      <xdr:rowOff>76200</xdr:rowOff>
    </xdr:from>
    <xdr:to>
      <xdr:col>52</xdr:col>
      <xdr:colOff>95250</xdr:colOff>
      <xdr:row>18</xdr:row>
      <xdr:rowOff>76200</xdr:rowOff>
    </xdr:to>
    <xdr:graphicFrame>
      <xdr:nvGraphicFramePr>
        <xdr:cNvPr id="1" name="Graphique 2"/>
        <xdr:cNvGraphicFramePr/>
      </xdr:nvGraphicFramePr>
      <xdr:xfrm>
        <a:off x="11153775" y="76200"/>
        <a:ext cx="4953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4"/>
  <sheetViews>
    <sheetView tabSelected="1" zoomScale="80" zoomScaleNormal="80" zoomScalePageLayoutView="0" workbookViewId="0" topLeftCell="A1">
      <selection activeCell="AC38" sqref="AC38:AE38"/>
    </sheetView>
  </sheetViews>
  <sheetFormatPr defaultColWidth="11.421875" defaultRowHeight="15"/>
  <cols>
    <col min="1" max="1" width="2.8515625" style="30" customWidth="1"/>
    <col min="2" max="2" width="8.421875" style="30" customWidth="1"/>
    <col min="3" max="3" width="36.28125" style="30" customWidth="1"/>
    <col min="4" max="4" width="8.421875" style="30" customWidth="1"/>
    <col min="5" max="5" width="2.8515625" style="30" customWidth="1"/>
    <col min="6" max="6" width="32.28125" style="30" customWidth="1"/>
    <col min="7" max="7" width="7.8515625" style="30" customWidth="1"/>
    <col min="8" max="8" width="2.8515625" style="61" hidden="1" customWidth="1"/>
    <col min="9" max="11" width="6.7109375" style="30" hidden="1" customWidth="1"/>
    <col min="12" max="12" width="2.8515625" style="30" hidden="1" customWidth="1"/>
    <col min="13" max="13" width="28.57421875" style="30" hidden="1" customWidth="1"/>
    <col min="14" max="14" width="7.7109375" style="30" hidden="1" customWidth="1"/>
    <col min="15" max="15" width="3.7109375" style="67" customWidth="1"/>
    <col min="16" max="53" width="3.7109375" style="6" customWidth="1"/>
    <col min="54" max="16384" width="11.421875" style="6" customWidth="1"/>
  </cols>
  <sheetData>
    <row r="1" spans="1:15" ht="12.75">
      <c r="A1" s="1"/>
      <c r="B1" s="2"/>
      <c r="C1" s="2"/>
      <c r="D1" s="2"/>
      <c r="E1" s="3"/>
      <c r="F1" s="2"/>
      <c r="G1" s="2"/>
      <c r="H1" s="4"/>
      <c r="I1" s="2"/>
      <c r="J1" s="2"/>
      <c r="K1" s="2"/>
      <c r="L1" s="2"/>
      <c r="M1" s="1"/>
      <c r="N1" s="1"/>
      <c r="O1" s="5"/>
    </row>
    <row r="2" spans="1:31" ht="15" customHeight="1">
      <c r="A2" s="1"/>
      <c r="B2" s="77" t="s">
        <v>0</v>
      </c>
      <c r="C2" s="77"/>
      <c r="D2" s="77"/>
      <c r="E2" s="3"/>
      <c r="F2" s="7" t="s">
        <v>1</v>
      </c>
      <c r="G2" s="8" t="str">
        <f aca="true" t="shared" si="0" ref="G2:G12">IF($D$14="FF",I2,IF($D$14="4WD",K2,J2))</f>
        <v>RWD</v>
      </c>
      <c r="H2" s="9"/>
      <c r="I2" s="8" t="s">
        <v>109</v>
      </c>
      <c r="J2" s="8" t="s">
        <v>110</v>
      </c>
      <c r="K2" s="8" t="s">
        <v>111</v>
      </c>
      <c r="L2" s="10"/>
      <c r="M2" s="3" t="s">
        <v>2</v>
      </c>
      <c r="N2" s="3"/>
      <c r="O2" s="5"/>
      <c r="P2" s="142" t="s">
        <v>87</v>
      </c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50" ht="15.75" customHeight="1">
      <c r="A3" s="1"/>
      <c r="B3" s="77"/>
      <c r="C3" s="77"/>
      <c r="D3" s="77"/>
      <c r="E3" s="3"/>
      <c r="F3" s="11" t="s">
        <v>113</v>
      </c>
      <c r="G3" s="12">
        <f t="shared" si="0"/>
        <v>120</v>
      </c>
      <c r="H3" s="9"/>
      <c r="I3" s="13">
        <f>MAX(ROUND(D17+(D18-D17)*N4+(D18-D17)*N3/20,0),D17)</f>
        <v>120</v>
      </c>
      <c r="J3" s="13">
        <f>MAX(ROUND(D17+(D18-D17)*N4+(D18-D17)*N3/20,0),D17)</f>
        <v>120</v>
      </c>
      <c r="K3" s="13">
        <f>MAX(ROUND(D17+(D18-D17)*N4+(D18-D17)*N3/20,0),D17)</f>
        <v>120</v>
      </c>
      <c r="L3" s="10"/>
      <c r="M3" s="14" t="s">
        <v>3</v>
      </c>
      <c r="N3" s="3">
        <f>AVERAGE(D30,D31)</f>
        <v>1.5</v>
      </c>
      <c r="O3" s="5"/>
      <c r="P3" s="91" t="s">
        <v>86</v>
      </c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163">
        <v>6</v>
      </c>
      <c r="AD3" s="164"/>
      <c r="AE3" s="165"/>
      <c r="AF3" s="15"/>
      <c r="AG3" s="15"/>
      <c r="AH3" s="16" t="s">
        <v>60</v>
      </c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2" ht="12.75">
      <c r="A4" s="1"/>
      <c r="B4" s="78" t="s">
        <v>112</v>
      </c>
      <c r="C4" s="78"/>
      <c r="D4" s="78"/>
      <c r="E4" s="17"/>
      <c r="F4" s="18" t="s">
        <v>114</v>
      </c>
      <c r="G4" s="19">
        <f t="shared" si="0"/>
        <v>107</v>
      </c>
      <c r="H4" s="20"/>
      <c r="I4" s="19">
        <f>MAX(ROUND(D19+(D20-D19)*N4-(D20-D19)*N3/20,0),D19)</f>
        <v>107</v>
      </c>
      <c r="J4" s="19">
        <f>MAX(ROUND(D19+(D20-D19)*N4-(D20-D19)*N3/20,0),D19)</f>
        <v>107</v>
      </c>
      <c r="K4" s="19">
        <f>MAX(ROUND(D19+(D20-D19)*N4-(D20-D19)*N3/20,0),D19)</f>
        <v>107</v>
      </c>
      <c r="L4" s="21"/>
      <c r="M4" s="14" t="s">
        <v>4</v>
      </c>
      <c r="N4" s="22">
        <f>0.75-0.15*D29</f>
        <v>0.45</v>
      </c>
      <c r="O4" s="5"/>
      <c r="P4" s="91" t="s">
        <v>74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166">
        <v>7500</v>
      </c>
      <c r="AD4" s="167"/>
      <c r="AE4" s="168"/>
      <c r="AF4" s="23"/>
      <c r="AG4" s="23"/>
      <c r="AH4" s="16"/>
      <c r="AI4" s="24">
        <v>1</v>
      </c>
      <c r="AJ4" s="24">
        <v>1</v>
      </c>
      <c r="AK4" s="24">
        <v>2</v>
      </c>
      <c r="AL4" s="24">
        <v>2</v>
      </c>
      <c r="AM4" s="24">
        <v>3</v>
      </c>
      <c r="AN4" s="24">
        <v>3</v>
      </c>
      <c r="AO4" s="24">
        <v>4</v>
      </c>
      <c r="AP4" s="24">
        <v>4</v>
      </c>
      <c r="AQ4" s="24">
        <v>5</v>
      </c>
      <c r="AR4" s="24">
        <v>5</v>
      </c>
      <c r="AS4" s="24">
        <v>6</v>
      </c>
      <c r="AT4" s="24">
        <v>6</v>
      </c>
      <c r="AU4" s="24">
        <v>7</v>
      </c>
      <c r="AV4" s="24">
        <v>7</v>
      </c>
      <c r="AW4" s="24">
        <v>8</v>
      </c>
      <c r="AX4" s="24">
        <v>8</v>
      </c>
      <c r="AZ4" s="25"/>
    </row>
    <row r="5" spans="1:52" ht="12.75">
      <c r="A5" s="1"/>
      <c r="B5" s="2"/>
      <c r="C5" s="2"/>
      <c r="D5" s="2"/>
      <c r="E5" s="2"/>
      <c r="F5" s="11" t="s">
        <v>115</v>
      </c>
      <c r="G5" s="26">
        <f t="shared" si="0"/>
        <v>11.03</v>
      </c>
      <c r="H5" s="20"/>
      <c r="I5" s="26">
        <f>MAX(ROUND(D21/AVERAGE(D21,D24)*N6*IF(D42="N",(N3-20)/-20,(N3+20)/20),2),D22)</f>
        <v>11.03</v>
      </c>
      <c r="J5" s="26">
        <f>MAX(ROUND(D21/AVERAGE(D21,D24)*N6*IF(D42="N",(N3-20)/-20,(N3+20)/20),2),D22)</f>
        <v>11.03</v>
      </c>
      <c r="K5" s="26">
        <f>MAX(ROUND(D21/AVERAGE(D21,D24)*N6*IF(D42="N",(N3-20)/-20,(N3+20)/20),2),D22)</f>
        <v>11.03</v>
      </c>
      <c r="L5" s="21"/>
      <c r="M5" s="14" t="s">
        <v>5</v>
      </c>
      <c r="N5" s="22">
        <f>D29/6</f>
        <v>0.3333333333333333</v>
      </c>
      <c r="O5" s="5"/>
      <c r="P5" s="91" t="s">
        <v>75</v>
      </c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166">
        <v>7600</v>
      </c>
      <c r="AD5" s="167"/>
      <c r="AE5" s="168"/>
      <c r="AF5" s="23"/>
      <c r="AG5" s="23"/>
      <c r="AH5" s="16" t="s">
        <v>61</v>
      </c>
      <c r="AI5" s="27">
        <v>0</v>
      </c>
      <c r="AJ5" s="27">
        <f ca="1">IF($AC$3&lt;AJ4,AI5,OFFSET($Z$25,AJ4-1,0))</f>
        <v>91.66952182414765</v>
      </c>
      <c r="AK5" s="27">
        <f>AJ5</f>
        <v>91.66952182414765</v>
      </c>
      <c r="AL5" s="27">
        <f ca="1">IF($AC$3&lt;AL4,AK5,OFFSET($Z$25,AL4-1,0))</f>
        <v>117.40828126314037</v>
      </c>
      <c r="AM5" s="27">
        <f>AL5</f>
        <v>117.40828126314037</v>
      </c>
      <c r="AN5" s="27">
        <f ca="1">IF($AC$3&lt;AN4,AM5,OFFSET($Z$25,AN4-1,0))</f>
        <v>146.36269440275902</v>
      </c>
      <c r="AO5" s="27">
        <f>AN5</f>
        <v>146.36269440275902</v>
      </c>
      <c r="AP5" s="27">
        <f ca="1">IF($AC$3&lt;AP4,AO5,OFFSET($Z$25,AP4-1,0))</f>
        <v>177.42298392574642</v>
      </c>
      <c r="AQ5" s="27">
        <f>AP5</f>
        <v>177.42298392574642</v>
      </c>
      <c r="AR5" s="27">
        <f ca="1">IF($AC$3&lt;AR4,AQ5,OFFSET($Z$25,AR4-1,0))</f>
        <v>209.07691816106257</v>
      </c>
      <c r="AS5" s="27">
        <f>AR5</f>
        <v>209.07691816106257</v>
      </c>
      <c r="AT5" s="27">
        <f ca="1">IF($AC$3&lt;AT4,AS5,OFFSET($Z$25,AT4-1,0))</f>
        <v>254.973849466739</v>
      </c>
      <c r="AU5" s="27">
        <f>AT5</f>
        <v>254.973849466739</v>
      </c>
      <c r="AV5" s="27">
        <f ca="1">IF($AC$3&lt;AV4,AU5,OFFSET($Z$25,AV4-1,0))</f>
        <v>254.973849466739</v>
      </c>
      <c r="AW5" s="27">
        <f>AV5</f>
        <v>254.973849466739</v>
      </c>
      <c r="AX5" s="27">
        <f ca="1">IF($AC$3&lt;AX4,AW5,OFFSET($Z$25,AX4-1,0))</f>
        <v>254.973849466739</v>
      </c>
      <c r="AZ5" s="25"/>
    </row>
    <row r="6" spans="1:52" ht="12.75">
      <c r="A6" s="1"/>
      <c r="B6" s="72" t="s">
        <v>58</v>
      </c>
      <c r="C6" s="72"/>
      <c r="D6" s="72"/>
      <c r="E6" s="2"/>
      <c r="F6" s="18" t="s">
        <v>116</v>
      </c>
      <c r="G6" s="28">
        <f t="shared" si="0"/>
        <v>9.07</v>
      </c>
      <c r="H6" s="9"/>
      <c r="I6" s="28">
        <f>MAX(ROUND(D24/AVERAGE(D21,D24)*N6*IF(D42="N",(N3+20)/+20,(N3-20)/-20),2),D25)</f>
        <v>9.07</v>
      </c>
      <c r="J6" s="28">
        <f>MAX(ROUND(D24/AVERAGE(D21,D24)*N6*IF(D42="N",(N3+20)/+20,(N3-20)/-20),2),D25)</f>
        <v>9.07</v>
      </c>
      <c r="K6" s="28">
        <f>MAX(ROUND(D24/AVERAGE(D21,D24)*N6*IF(D42="N",(N3+20)/+20,(N3-20)/-20),2),D25)</f>
        <v>9.07</v>
      </c>
      <c r="L6" s="10"/>
      <c r="M6" s="14" t="s">
        <v>7</v>
      </c>
      <c r="N6" s="14">
        <f>AVERAGE(D22+N5*(D23-D22),D25+N5*(D26-D25))</f>
        <v>10.181666666666667</v>
      </c>
      <c r="O6" s="5"/>
      <c r="P6" s="91" t="s">
        <v>73</v>
      </c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152">
        <f>$AC$15</f>
        <v>8000</v>
      </c>
      <c r="AD6" s="153"/>
      <c r="AE6" s="154"/>
      <c r="AF6" s="23"/>
      <c r="AG6" s="23"/>
      <c r="AH6" s="16" t="s">
        <v>62</v>
      </c>
      <c r="AI6" s="24">
        <v>0</v>
      </c>
      <c r="AJ6" s="68">
        <f>IF(AJ$4&lt;$AC$3,$AC$4,$AC$6)</f>
        <v>7500</v>
      </c>
      <c r="AK6" s="68">
        <f ca="1">IF(AK$4&lt;=$AC$3,OFFSET($AC$25,AK4-1,0),AJ6)</f>
        <v>5855.817036791516</v>
      </c>
      <c r="AL6" s="68">
        <f>IF(AL$4&lt;$AC$3,$AC$4,$AC$6)</f>
        <v>7500</v>
      </c>
      <c r="AM6" s="68">
        <f ca="1">IF(AM$4&lt;=$AC$3,OFFSET($AC$25,AM4-1,0),AL6)</f>
        <v>6016.3015792154865</v>
      </c>
      <c r="AN6" s="68">
        <f>IF(AN$4&lt;$AC$3,$AC$4,$AC$6)</f>
        <v>7500</v>
      </c>
      <c r="AO6" s="68">
        <f ca="1">IF(AO$4&lt;=$AC$3,OFFSET($AC$25,AO4-1,0),AN6)</f>
        <v>6187.023708721422</v>
      </c>
      <c r="AP6" s="68">
        <f>IF(AP$4&lt;$AC$3,$AC$4,$AC$6)</f>
        <v>7500</v>
      </c>
      <c r="AQ6" s="68">
        <f ca="1">IF(AQ$4&lt;=$AC$3,OFFSET($AC$25,AQ4-1,0),AP6)</f>
        <v>6364.511162432641</v>
      </c>
      <c r="AR6" s="68">
        <f>IF(AR$4&lt;$AC$3,$AC$4,$AC$6)</f>
        <v>7500</v>
      </c>
      <c r="AS6" s="68">
        <f ca="1">IF(AS$4&lt;=$AC$3,OFFSET($AC$25,AS4-1,0),AR6)</f>
        <v>6559.948593891745</v>
      </c>
      <c r="AT6" s="68">
        <f>IF(AT$4&lt;$AC$3,$AC$4,$AC$6)</f>
        <v>8000</v>
      </c>
      <c r="AU6" s="68">
        <f ca="1">IF(AU$4&lt;=$AC$3,OFFSET($AC$25,AU4-1,0),AT6)</f>
        <v>8000</v>
      </c>
      <c r="AV6" s="68">
        <f>IF(AV$4&lt;$AC$3,$AC$4,$AC$6)</f>
        <v>8000</v>
      </c>
      <c r="AW6" s="68">
        <f ca="1">IF(AW$4&lt;=$AC$3,OFFSET($AC$25,AW4-1,0),AV6)</f>
        <v>8000</v>
      </c>
      <c r="AX6" s="68">
        <f>IF(AX$4&lt;$AC$3,$AC$4,$AC$6)</f>
        <v>8000</v>
      </c>
      <c r="AZ6" s="15"/>
    </row>
    <row r="7" spans="1:52" ht="12.75">
      <c r="A7" s="1"/>
      <c r="B7" s="71" t="s">
        <v>143</v>
      </c>
      <c r="C7" s="71"/>
      <c r="D7" s="71"/>
      <c r="E7" s="1"/>
      <c r="F7" s="11" t="s">
        <v>117</v>
      </c>
      <c r="G7" s="13">
        <f t="shared" si="0"/>
        <v>6</v>
      </c>
      <c r="H7" s="9"/>
      <c r="I7" s="13">
        <f>ROUND(N7,0)</f>
        <v>6</v>
      </c>
      <c r="J7" s="13">
        <f>ROUND(N7,0)</f>
        <v>6</v>
      </c>
      <c r="K7" s="13">
        <f>ROUND(N7,0)</f>
        <v>6</v>
      </c>
      <c r="L7" s="10"/>
      <c r="M7" s="14" t="s">
        <v>8</v>
      </c>
      <c r="N7" s="3">
        <f>ROUND(4.465*LN(D29+1)+1,0)</f>
        <v>6</v>
      </c>
      <c r="O7" s="5"/>
      <c r="AF7" s="23"/>
      <c r="AG7" s="23"/>
      <c r="AH7" s="16" t="s">
        <v>61</v>
      </c>
      <c r="AI7" s="29">
        <f>MAX(AI5,AI11)</f>
        <v>0</v>
      </c>
      <c r="AJ7" s="69">
        <f aca="true" t="shared" si="1" ref="AJ7:AX7">MAX(AJ5,AJ11)</f>
        <v>91.66952182414765</v>
      </c>
      <c r="AK7" s="69">
        <f t="shared" si="1"/>
        <v>91.66952182414765</v>
      </c>
      <c r="AL7" s="69">
        <f t="shared" si="1"/>
        <v>117.40828126314037</v>
      </c>
      <c r="AM7" s="69">
        <f t="shared" si="1"/>
        <v>117.40828126314037</v>
      </c>
      <c r="AN7" s="69">
        <f t="shared" si="1"/>
        <v>146.36269440275902</v>
      </c>
      <c r="AO7" s="69">
        <f t="shared" si="1"/>
        <v>146.36269440275902</v>
      </c>
      <c r="AP7" s="69">
        <f t="shared" si="1"/>
        <v>177.42298392574642</v>
      </c>
      <c r="AQ7" s="69">
        <f t="shared" si="1"/>
        <v>177.42298392574642</v>
      </c>
      <c r="AR7" s="69">
        <f t="shared" si="1"/>
        <v>209.07691816106257</v>
      </c>
      <c r="AS7" s="69">
        <f t="shared" si="1"/>
        <v>209.07691816106257</v>
      </c>
      <c r="AT7" s="69">
        <f t="shared" si="1"/>
        <v>254.973849466739</v>
      </c>
      <c r="AU7" s="69">
        <f t="shared" si="1"/>
        <v>254.973849466739</v>
      </c>
      <c r="AV7" s="69">
        <f t="shared" si="1"/>
        <v>254.973849466739</v>
      </c>
      <c r="AW7" s="69">
        <f t="shared" si="1"/>
        <v>254.973849466739</v>
      </c>
      <c r="AX7" s="69">
        <f t="shared" si="1"/>
        <v>254.973849466739</v>
      </c>
      <c r="AZ7" s="25"/>
    </row>
    <row r="8" spans="1:50" ht="12.75">
      <c r="A8" s="1"/>
      <c r="E8" s="1"/>
      <c r="F8" s="18" t="s">
        <v>118</v>
      </c>
      <c r="G8" s="19">
        <f t="shared" si="0"/>
        <v>6</v>
      </c>
      <c r="H8" s="9"/>
      <c r="I8" s="19">
        <f>ROUND(N7,0)</f>
        <v>6</v>
      </c>
      <c r="J8" s="19">
        <f>ROUND(N7,0)</f>
        <v>6</v>
      </c>
      <c r="K8" s="19">
        <f>ROUND(N7,0)</f>
        <v>6</v>
      </c>
      <c r="L8" s="10"/>
      <c r="M8" s="14" t="s">
        <v>9</v>
      </c>
      <c r="N8" s="3">
        <f>D29+1</f>
        <v>3</v>
      </c>
      <c r="O8" s="5"/>
      <c r="P8" s="142" t="s">
        <v>88</v>
      </c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23"/>
      <c r="AG8" s="23"/>
      <c r="AH8" s="16" t="s">
        <v>63</v>
      </c>
      <c r="AI8" s="31">
        <f aca="true" t="shared" si="2" ref="AI8:AX8">$AC$4</f>
        <v>7500</v>
      </c>
      <c r="AJ8" s="68">
        <f t="shared" si="2"/>
        <v>7500</v>
      </c>
      <c r="AK8" s="68">
        <f t="shared" si="2"/>
        <v>7500</v>
      </c>
      <c r="AL8" s="68">
        <f t="shared" si="2"/>
        <v>7500</v>
      </c>
      <c r="AM8" s="68">
        <f t="shared" si="2"/>
        <v>7500</v>
      </c>
      <c r="AN8" s="68">
        <f t="shared" si="2"/>
        <v>7500</v>
      </c>
      <c r="AO8" s="68">
        <f t="shared" si="2"/>
        <v>7500</v>
      </c>
      <c r="AP8" s="68">
        <f t="shared" si="2"/>
        <v>7500</v>
      </c>
      <c r="AQ8" s="68">
        <f t="shared" si="2"/>
        <v>7500</v>
      </c>
      <c r="AR8" s="68">
        <f t="shared" si="2"/>
        <v>7500</v>
      </c>
      <c r="AS8" s="68">
        <f t="shared" si="2"/>
        <v>7500</v>
      </c>
      <c r="AT8" s="68">
        <f t="shared" si="2"/>
        <v>7500</v>
      </c>
      <c r="AU8" s="68">
        <f t="shared" si="2"/>
        <v>7500</v>
      </c>
      <c r="AV8" s="68">
        <f t="shared" si="2"/>
        <v>7500</v>
      </c>
      <c r="AW8" s="68">
        <f t="shared" si="2"/>
        <v>7500</v>
      </c>
      <c r="AX8" s="68">
        <f t="shared" si="2"/>
        <v>7500</v>
      </c>
    </row>
    <row r="9" spans="1:50" ht="12.75">
      <c r="A9" s="1"/>
      <c r="B9" s="72" t="s">
        <v>6</v>
      </c>
      <c r="C9" s="72"/>
      <c r="D9" s="72"/>
      <c r="E9" s="1"/>
      <c r="F9" s="11" t="s">
        <v>119</v>
      </c>
      <c r="G9" s="13">
        <f t="shared" si="0"/>
        <v>7</v>
      </c>
      <c r="H9" s="9"/>
      <c r="I9" s="13">
        <f>ROUND(FLOOR(N16*N7*2,0.2),0)</f>
        <v>7</v>
      </c>
      <c r="J9" s="13">
        <f>ROUND(FLOOR(N16*N7*2,0.2),0)</f>
        <v>7</v>
      </c>
      <c r="K9" s="13">
        <f>ROUND(FLOOR(N16*N7*2,0.2),0)</f>
        <v>7</v>
      </c>
      <c r="L9" s="10"/>
      <c r="M9" s="3" t="s">
        <v>11</v>
      </c>
      <c r="N9" s="32">
        <f>D12/N14</f>
        <v>1.6664731000991242</v>
      </c>
      <c r="O9" s="5"/>
      <c r="P9" s="91" t="s">
        <v>79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55">
        <v>2.5</v>
      </c>
      <c r="AD9" s="156"/>
      <c r="AE9" s="157"/>
      <c r="AF9" s="23"/>
      <c r="AG9" s="23"/>
      <c r="AH9" s="16" t="s">
        <v>64</v>
      </c>
      <c r="AI9" s="31">
        <f aca="true" t="shared" si="3" ref="AI9:AX9">$AC$5</f>
        <v>7600</v>
      </c>
      <c r="AJ9" s="68">
        <f t="shared" si="3"/>
        <v>7600</v>
      </c>
      <c r="AK9" s="68">
        <f t="shared" si="3"/>
        <v>7600</v>
      </c>
      <c r="AL9" s="68">
        <f t="shared" si="3"/>
        <v>7600</v>
      </c>
      <c r="AM9" s="68">
        <f t="shared" si="3"/>
        <v>7600</v>
      </c>
      <c r="AN9" s="68">
        <f t="shared" si="3"/>
        <v>7600</v>
      </c>
      <c r="AO9" s="68">
        <f t="shared" si="3"/>
        <v>7600</v>
      </c>
      <c r="AP9" s="68">
        <f t="shared" si="3"/>
        <v>7600</v>
      </c>
      <c r="AQ9" s="68">
        <f t="shared" si="3"/>
        <v>7600</v>
      </c>
      <c r="AR9" s="68">
        <f t="shared" si="3"/>
        <v>7600</v>
      </c>
      <c r="AS9" s="68">
        <f t="shared" si="3"/>
        <v>7600</v>
      </c>
      <c r="AT9" s="68">
        <f t="shared" si="3"/>
        <v>7600</v>
      </c>
      <c r="AU9" s="68">
        <f t="shared" si="3"/>
        <v>7600</v>
      </c>
      <c r="AV9" s="68">
        <f t="shared" si="3"/>
        <v>7600</v>
      </c>
      <c r="AW9" s="68">
        <f t="shared" si="3"/>
        <v>7600</v>
      </c>
      <c r="AX9" s="68">
        <f t="shared" si="3"/>
        <v>7600</v>
      </c>
    </row>
    <row r="10" spans="1:50" ht="12.75">
      <c r="A10" s="1"/>
      <c r="B10" s="73" t="str">
        <f>IF($D$40="HP","PUISSANCE MAX. (HP)",IF($D$40="KW","PUISSANCE MAX. (KW)","PUISSANCE MAX. (PS)"))</f>
        <v>PUISSANCE MAX. (PS)</v>
      </c>
      <c r="C10" s="73"/>
      <c r="D10" s="33">
        <v>751</v>
      </c>
      <c r="E10" s="1"/>
      <c r="F10" s="18" t="s">
        <v>120</v>
      </c>
      <c r="G10" s="19">
        <f t="shared" si="0"/>
        <v>5</v>
      </c>
      <c r="H10" s="9"/>
      <c r="I10" s="19">
        <f>ROUND(CEILING((1-N16)*N7*2,0.2),0)</f>
        <v>5</v>
      </c>
      <c r="J10" s="19">
        <f>ROUND(CEILING((1-N16)*N7*2,0.2),0)</f>
        <v>5</v>
      </c>
      <c r="K10" s="19">
        <f>ROUND(CEILING((1-N16)*N7*2,0.2),0)</f>
        <v>5</v>
      </c>
      <c r="L10" s="10"/>
      <c r="M10" s="3" t="s">
        <v>13</v>
      </c>
      <c r="N10" s="32">
        <f>N14/N15</f>
        <v>1.3307275380446113</v>
      </c>
      <c r="O10" s="5"/>
      <c r="P10" s="91" t="s">
        <v>78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55">
        <v>5.5</v>
      </c>
      <c r="AD10" s="156"/>
      <c r="AE10" s="157"/>
      <c r="AF10" s="23"/>
      <c r="AG10" s="23"/>
      <c r="AH10" s="16"/>
      <c r="AI10" s="24">
        <v>1</v>
      </c>
      <c r="AJ10" s="24">
        <v>1</v>
      </c>
      <c r="AK10" s="24">
        <v>2</v>
      </c>
      <c r="AL10" s="24">
        <v>2</v>
      </c>
      <c r="AM10" s="24">
        <v>3</v>
      </c>
      <c r="AN10" s="24">
        <v>3</v>
      </c>
      <c r="AO10" s="24">
        <v>4</v>
      </c>
      <c r="AP10" s="24">
        <v>4</v>
      </c>
      <c r="AQ10" s="24">
        <v>5</v>
      </c>
      <c r="AR10" s="24">
        <v>5</v>
      </c>
      <c r="AS10" s="24">
        <v>6</v>
      </c>
      <c r="AT10" s="24">
        <v>6</v>
      </c>
      <c r="AU10" s="24">
        <v>7</v>
      </c>
      <c r="AV10" s="24">
        <v>7</v>
      </c>
      <c r="AW10" s="24">
        <v>8</v>
      </c>
      <c r="AX10" s="24">
        <v>8</v>
      </c>
    </row>
    <row r="11" spans="1:50" ht="12.75">
      <c r="A11" s="1"/>
      <c r="B11" s="73" t="str">
        <f>IF($D$41="LB-FT","COUPLE MAX. (LB-FT)",IF($D$41="KGFM","COUPLE MAX. (KGFM)","COUPLE MAX. (NM)"))</f>
        <v>COUPLE MAX. (NM)</v>
      </c>
      <c r="C11" s="73"/>
      <c r="D11" s="33">
        <v>754</v>
      </c>
      <c r="E11" s="21"/>
      <c r="F11" s="11" t="s">
        <v>121</v>
      </c>
      <c r="G11" s="13">
        <f t="shared" si="0"/>
        <v>2</v>
      </c>
      <c r="H11" s="9"/>
      <c r="I11" s="13">
        <f>ROUND(N8*POWER(IF(D42="N",(20/3*POWER(N16,2)-11*N16+29/6),(-20/3*POWER(N16,2)+11*N16-17/6)),0.999),0)</f>
        <v>2</v>
      </c>
      <c r="J11" s="13">
        <f>ROUND(N8*POWER(IF(D42="N",(20/3*POWER(N16,2)-11*N16+29/6),(-20/3*POWER(N16,2)+11*N16-17/6)),0.999),0)</f>
        <v>2</v>
      </c>
      <c r="K11" s="13">
        <f>ROUND(N8*POWER(IF(D42="N",(20/3*POWER(N16,2)-11*N16+29/6),(-20/3*POWER(N16,2)+11*N16-17/6)),0.999),0)</f>
        <v>2</v>
      </c>
      <c r="L11" s="10"/>
      <c r="M11" s="3" t="s">
        <v>14</v>
      </c>
      <c r="N11" s="22">
        <f>(1-N26)+N26*((SQRT(N9+IF(N9&lt;N20,N20-N9,0)+IF(N9&gt;N21,N21-N9,0)-N20)/SQRT(N19-N20)))</f>
        <v>0.9485454868274803</v>
      </c>
      <c r="O11" s="5"/>
      <c r="P11" s="91" t="s">
        <v>77</v>
      </c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5">
        <v>0.75</v>
      </c>
      <c r="AD11" s="96"/>
      <c r="AE11" s="97"/>
      <c r="AF11" s="23"/>
      <c r="AG11" s="23"/>
      <c r="AH11" s="16" t="s">
        <v>61</v>
      </c>
      <c r="AI11" s="27">
        <v>0</v>
      </c>
      <c r="AJ11" s="27">
        <f ca="1">IF($AC$3&lt;AJ10,AI11,OFFSET($AU$25,AJ10-1,0))</f>
        <v>91.66952182414765</v>
      </c>
      <c r="AK11" s="27">
        <f>AJ11</f>
        <v>91.66952182414765</v>
      </c>
      <c r="AL11" s="27">
        <f ca="1">IF($AC$3&lt;AL10,AK11,OFFSET($AU$25,AL10-1,0))</f>
        <v>117.40828126314037</v>
      </c>
      <c r="AM11" s="27">
        <f>AL11</f>
        <v>117.40828126314037</v>
      </c>
      <c r="AN11" s="27">
        <f ca="1">IF($AC$3&lt;AN10,AM11,OFFSET($AU$25,AN10-1,0))</f>
        <v>146.36269440275902</v>
      </c>
      <c r="AO11" s="27">
        <f>AN11</f>
        <v>146.36269440275902</v>
      </c>
      <c r="AP11" s="27">
        <f ca="1">IF($AC$3&lt;AP10,AO11,OFFSET($AU$25,AP10-1,0))</f>
        <v>177.42298392574642</v>
      </c>
      <c r="AQ11" s="27">
        <f>AP11</f>
        <v>177.42298392574642</v>
      </c>
      <c r="AR11" s="27">
        <f ca="1">IF($AC$3&lt;AR10,AQ11,OFFSET($AU$25,AR10-1,0))</f>
        <v>209.07691816106257</v>
      </c>
      <c r="AS11" s="27">
        <f>AR11</f>
        <v>209.07691816106257</v>
      </c>
      <c r="AT11" s="27">
        <f ca="1">IF($AC$3&lt;AT10,AS11,OFFSET($AU$25,AT10-1,0))</f>
        <v>254.973849466739</v>
      </c>
      <c r="AU11" s="27">
        <f>AT11</f>
        <v>254.973849466739</v>
      </c>
      <c r="AV11" s="27">
        <f ca="1">IF($AC$3&lt;AV10,AU11,OFFSET($AU$25,AV10-1,0))</f>
        <v>254.973849466739</v>
      </c>
      <c r="AW11" s="27">
        <f>AV11</f>
        <v>254.973849466739</v>
      </c>
      <c r="AX11" s="27">
        <f ca="1">IF($AC$3&lt;AX10,AW11,OFFSET($AU$25,AX10-1,0))</f>
        <v>254.973849466739</v>
      </c>
    </row>
    <row r="12" spans="1:50" ht="12.75">
      <c r="A12" s="1"/>
      <c r="B12" s="73" t="s">
        <v>10</v>
      </c>
      <c r="C12" s="73"/>
      <c r="D12" s="33">
        <v>1234</v>
      </c>
      <c r="E12" s="21"/>
      <c r="F12" s="18" t="s">
        <v>122</v>
      </c>
      <c r="G12" s="19">
        <f t="shared" si="0"/>
        <v>4</v>
      </c>
      <c r="H12" s="34"/>
      <c r="I12" s="19">
        <f>ROUND(N8*POWER(IF(D42="N",(-20/3*POWER(N16,2)+11*N16-17/6),(20/3*POWER(N16,2)-11*N16+29/6)),0.999),0)</f>
        <v>4</v>
      </c>
      <c r="J12" s="19">
        <f>ROUND(N8*POWER(IF(D42="N",(-20/3*POWER(N16,2)+11*N16-17/6),(20/3*POWER(N16,2)-11*N16+29/6)),0.999),0)</f>
        <v>4</v>
      </c>
      <c r="K12" s="19">
        <f>ROUND(N8*POWER(IF(D42="N",(-20/3*POWER(N16,2)+11*N16-17/6),(20/3*POWER(N16,2)-11*N16+29/6)),0.999),0)</f>
        <v>4</v>
      </c>
      <c r="L12" s="1"/>
      <c r="M12" s="3" t="s">
        <v>16</v>
      </c>
      <c r="N12" s="22">
        <f>(1+N27)-N27*(SQRT(N10+IF(N10&lt;N23,N23-N10,0)+IF(N10&gt;N24,N24-N10,0)-N23)/SQRT(N22-N23))</f>
        <v>0.9177106013939713</v>
      </c>
      <c r="O12" s="5"/>
      <c r="P12" s="91" t="s">
        <v>80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58">
        <f>(AC10-AC9)*AC11+AC9</f>
        <v>4.75</v>
      </c>
      <c r="AD12" s="159"/>
      <c r="AE12" s="160"/>
      <c r="AF12" s="23"/>
      <c r="AG12" s="23"/>
      <c r="AH12" s="16" t="s">
        <v>62</v>
      </c>
      <c r="AI12" s="24">
        <v>0</v>
      </c>
      <c r="AJ12" s="68">
        <f>IF(AJ$4&lt;$AC$3,$AC$4,$AC$6)</f>
        <v>7500</v>
      </c>
      <c r="AK12" s="68">
        <f ca="1">IF(AK$4&lt;=$AC$3,OFFSET($AX$25,AK10-1,0),AJ12)</f>
        <v>5855.817036791515</v>
      </c>
      <c r="AL12" s="68">
        <f>IF(AL$4&lt;$AC$3,$AC$4,$AC$6)</f>
        <v>7500</v>
      </c>
      <c r="AM12" s="68">
        <f ca="1">IF(AM$4&lt;=$AC$3,OFFSET($AX$25,AM10-1,0),AL12)</f>
        <v>6016.3015792154865</v>
      </c>
      <c r="AN12" s="68">
        <f>IF(AN$4&lt;$AC$3,$AC$4,$AC$6)</f>
        <v>7500</v>
      </c>
      <c r="AO12" s="68">
        <f ca="1">IF(AO$4&lt;=$AC$3,OFFSET($AX$25,AO10-1,0),AN12)</f>
        <v>6187.02370872142</v>
      </c>
      <c r="AP12" s="68">
        <f>IF(AP$4&lt;$AC$3,$AC$4,$AC$6)</f>
        <v>7500</v>
      </c>
      <c r="AQ12" s="68">
        <f ca="1">IF(AQ$4&lt;=$AC$3,OFFSET($AX$25,AQ10-1,0),AP12)</f>
        <v>6364.511162432639</v>
      </c>
      <c r="AR12" s="68">
        <f>IF(AR$4&lt;$AC$3,$AC$4,$AC$6)</f>
        <v>7500</v>
      </c>
      <c r="AS12" s="68">
        <f ca="1">IF(AS$4&lt;=$AC$3,OFFSET($AX$25,AS10-1,0),AR12)</f>
        <v>6559.948593891747</v>
      </c>
      <c r="AT12" s="68">
        <f>IF(AT$4&lt;$AC$3,$AC$4,$AC$6)</f>
        <v>8000</v>
      </c>
      <c r="AU12" s="68">
        <f ca="1">IF(AU$4&lt;=$AC$3,OFFSET($AX$25,AU10-1,0),AT12)</f>
        <v>8000</v>
      </c>
      <c r="AV12" s="68">
        <f>IF(AV$4&lt;$AC$3,$AC$4,$AC$6)</f>
        <v>8000</v>
      </c>
      <c r="AW12" s="68">
        <f ca="1">IF(AW$4&lt;=$AC$3,OFFSET($AX$25,AW10-1,0),AV12)</f>
        <v>8000</v>
      </c>
      <c r="AX12" s="68">
        <f>IF(AX$4&lt;$AC$3,$AC$4,$AC$6)</f>
        <v>8000</v>
      </c>
    </row>
    <row r="13" spans="1:34" ht="12.75">
      <c r="A13" s="1"/>
      <c r="B13" s="79" t="s">
        <v>12</v>
      </c>
      <c r="C13" s="79"/>
      <c r="D13" s="35">
        <v>0.58</v>
      </c>
      <c r="E13" s="21"/>
      <c r="F13" s="2"/>
      <c r="G13" s="2"/>
      <c r="H13" s="20"/>
      <c r="I13" s="2"/>
      <c r="J13" s="2"/>
      <c r="K13" s="2"/>
      <c r="L13" s="21"/>
      <c r="M13" s="3" t="s">
        <v>18</v>
      </c>
      <c r="N13" s="22">
        <f>N11*N12</f>
        <v>0.8704902491659843</v>
      </c>
      <c r="O13" s="5"/>
      <c r="P13" s="91" t="s">
        <v>81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45">
        <v>180</v>
      </c>
      <c r="AD13" s="145"/>
      <c r="AE13" s="145"/>
      <c r="AF13" s="15"/>
      <c r="AG13" s="15"/>
      <c r="AH13" s="15"/>
    </row>
    <row r="14" spans="1:31" ht="12.75">
      <c r="A14" s="1"/>
      <c r="B14" s="79" t="s">
        <v>76</v>
      </c>
      <c r="C14" s="79"/>
      <c r="D14" s="36" t="s">
        <v>144</v>
      </c>
      <c r="E14" s="21"/>
      <c r="F14" s="7" t="s">
        <v>135</v>
      </c>
      <c r="G14" s="8" t="str">
        <f>IF($D$14="FF",I14,IF($D$14="4WD",K14,J14))</f>
        <v>RWD</v>
      </c>
      <c r="H14" s="20"/>
      <c r="I14" s="8" t="s">
        <v>109</v>
      </c>
      <c r="J14" s="8" t="s">
        <v>110</v>
      </c>
      <c r="K14" s="8" t="s">
        <v>111</v>
      </c>
      <c r="L14" s="21"/>
      <c r="M14" s="1" t="s">
        <v>20</v>
      </c>
      <c r="N14" s="21">
        <f>IF(D40="HP",D10,IF(D40="KW",D10*1.341,D10*0.986))</f>
        <v>740.486</v>
      </c>
      <c r="O14" s="5"/>
      <c r="P14" s="91" t="s">
        <v>82</v>
      </c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46">
        <v>1.091</v>
      </c>
      <c r="AD14" s="147"/>
      <c r="AE14" s="148"/>
    </row>
    <row r="15" spans="1:31" ht="12.75">
      <c r="A15" s="1"/>
      <c r="E15" s="21"/>
      <c r="F15" s="11" t="s">
        <v>123</v>
      </c>
      <c r="G15" s="37">
        <f>IF($D$14="FF",I15,IF($D$14="4WD",K15,J15))</f>
        <v>0.8</v>
      </c>
      <c r="H15" s="38"/>
      <c r="I15" s="37">
        <f>ROUND(FLOOR(D32-D32*2*(0.4-N16)+D32*N3/6,0.02),1)</f>
        <v>0.8</v>
      </c>
      <c r="J15" s="37">
        <f>ROUND(FLOOR(D32-D32*2*(0.4-N16)+D32*N3/6,0.02),1)</f>
        <v>0.8</v>
      </c>
      <c r="K15" s="37">
        <f>ROUND(FLOOR(D32-D32*2*(0.4-N16)+D32*N3/6,0.02),1)</f>
        <v>0.8</v>
      </c>
      <c r="L15" s="14"/>
      <c r="M15" s="1" t="s">
        <v>22</v>
      </c>
      <c r="N15" s="21">
        <f>IF(D41="LB-FT",D11,IF(D41="KGFM",D11*7.233,D11*0.738))</f>
        <v>556.452</v>
      </c>
      <c r="O15" s="5"/>
      <c r="P15" s="91" t="s">
        <v>83</v>
      </c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49">
        <v>8000</v>
      </c>
      <c r="AD15" s="149"/>
      <c r="AE15" s="149"/>
    </row>
    <row r="16" spans="1:31" ht="12.75">
      <c r="A16" s="1"/>
      <c r="B16" s="72" t="s">
        <v>15</v>
      </c>
      <c r="C16" s="72"/>
      <c r="D16" s="72"/>
      <c r="E16" s="21"/>
      <c r="F16" s="18" t="s">
        <v>124</v>
      </c>
      <c r="G16" s="39">
        <f>IF($D$14="FF",I16,IF($D$14="4WD",K16,J16))</f>
        <v>0.2</v>
      </c>
      <c r="H16" s="38"/>
      <c r="I16" s="39">
        <f>ROUND(CEILING(D32-D32*2*(N16-0.4)-D32*N3/6,0.02),1)</f>
        <v>0.2</v>
      </c>
      <c r="J16" s="39">
        <f>ROUND(CEILING(D32-D32*2*(N16-0.4)-D32*N3/6,0.02),1)</f>
        <v>0.2</v>
      </c>
      <c r="K16" s="39">
        <f>ROUND(CEILING(D32-D32*2*(N16-0.4)-D32*N3/6,0.02),1)</f>
        <v>0.2</v>
      </c>
      <c r="L16" s="14"/>
      <c r="M16" s="1" t="s">
        <v>24</v>
      </c>
      <c r="N16" s="17">
        <f>IF(D13&gt;0.4,IF(D13&lt;0.65,D13,0.65),0.4)</f>
        <v>0.58</v>
      </c>
      <c r="O16" s="5"/>
      <c r="P16" s="91" t="s">
        <v>85</v>
      </c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150">
        <f>(($AC$14*$AC$12*$AC$13/$AC$15*1000/60))</f>
        <v>1.94334375</v>
      </c>
      <c r="AD16" s="150"/>
      <c r="AE16" s="150"/>
    </row>
    <row r="17" spans="1:31" ht="12.75">
      <c r="A17" s="1"/>
      <c r="B17" s="75" t="s">
        <v>17</v>
      </c>
      <c r="C17" s="75"/>
      <c r="D17" s="40">
        <v>75</v>
      </c>
      <c r="E17" s="2"/>
      <c r="F17" s="11" t="s">
        <v>125</v>
      </c>
      <c r="G17" s="26">
        <f>IF($D$14="FF",I17,IF($D$14="4WD",K17,J17))</f>
        <v>-0.11</v>
      </c>
      <c r="H17" s="34"/>
      <c r="I17" s="26">
        <f>ROUND(4*POWER(N16-0.65,2)-0.125-1/24*D30,2)</f>
        <v>-0.11</v>
      </c>
      <c r="J17" s="26">
        <f>ROUND(4*POWER(N16-0.65,2)-0.125-1/24*D30,2)</f>
        <v>-0.11</v>
      </c>
      <c r="K17" s="26">
        <f>ROUND(4*POWER(N16-0.65,2)-0.125-1/24*D30,2)</f>
        <v>-0.11</v>
      </c>
      <c r="L17" s="1"/>
      <c r="O17" s="5"/>
      <c r="P17" s="91" t="s">
        <v>84</v>
      </c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151">
        <f>$AC$16*1000/PI()/25.4</f>
        <v>24.35376094009768</v>
      </c>
      <c r="AD17" s="151"/>
      <c r="AE17" s="151"/>
    </row>
    <row r="18" spans="1:15" ht="12.75">
      <c r="A18" s="1"/>
      <c r="B18" s="74" t="s">
        <v>19</v>
      </c>
      <c r="C18" s="74"/>
      <c r="D18" s="41">
        <v>160</v>
      </c>
      <c r="E18" s="2"/>
      <c r="F18" s="18" t="s">
        <v>126</v>
      </c>
      <c r="G18" s="28">
        <f>IF($D$14="FF",I18,IF($D$14="4WD",K18,J18))</f>
        <v>0</v>
      </c>
      <c r="H18" s="9"/>
      <c r="I18" s="28">
        <f>ROUND(10*POWER(N16-0.65,2)-0.125-(2*POWER(N16-0.65,2)+1/24)*N3,2)</f>
        <v>-0.15</v>
      </c>
      <c r="J18" s="28">
        <f>ROUND((MAX((IF(N9&lt;10,9/1682*POWER(N9-10,2),0)*(-D31+3)/3),(10*POWER(N16-0.65,2)-0.125)-(2*POWER(N16-0.65,2)+1/24)*N3)),2)</f>
        <v>0</v>
      </c>
      <c r="K18" s="28">
        <f>ROUND(10*POWER(N16-0.65,2)-0.125-(2*POWER(N16-0.65,2)+1/24)*N3,2)</f>
        <v>-0.15</v>
      </c>
      <c r="L18" s="10"/>
      <c r="M18" s="3" t="s">
        <v>27</v>
      </c>
      <c r="N18" s="3"/>
      <c r="O18" s="5"/>
    </row>
    <row r="19" spans="1:31" ht="12.75">
      <c r="A19" s="1"/>
      <c r="B19" s="75" t="s">
        <v>21</v>
      </c>
      <c r="C19" s="75"/>
      <c r="D19" s="40">
        <v>75</v>
      </c>
      <c r="E19" s="1"/>
      <c r="F19" s="1"/>
      <c r="G19" s="1"/>
      <c r="H19" s="9"/>
      <c r="I19" s="1"/>
      <c r="J19" s="1"/>
      <c r="K19" s="1"/>
      <c r="L19" s="10"/>
      <c r="M19" s="3" t="s">
        <v>29</v>
      </c>
      <c r="N19" s="14">
        <v>2.75</v>
      </c>
      <c r="O19" s="5"/>
      <c r="P19" s="142" t="s">
        <v>89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</row>
    <row r="20" spans="1:31" ht="12.75">
      <c r="A20" s="1"/>
      <c r="B20" s="74" t="s">
        <v>23</v>
      </c>
      <c r="C20" s="74"/>
      <c r="D20" s="41">
        <v>160</v>
      </c>
      <c r="E20" s="1"/>
      <c r="F20" s="7" t="s">
        <v>136</v>
      </c>
      <c r="G20" s="8" t="str">
        <f>IF($D$14="FF",I20,IF($D$14="4WD",K20,J20))</f>
        <v>RWD</v>
      </c>
      <c r="H20" s="9"/>
      <c r="I20" s="8" t="s">
        <v>109</v>
      </c>
      <c r="J20" s="8" t="s">
        <v>110</v>
      </c>
      <c r="K20" s="8" t="s">
        <v>111</v>
      </c>
      <c r="L20" s="10"/>
      <c r="M20" s="3" t="s">
        <v>31</v>
      </c>
      <c r="N20" s="14">
        <f>1/3</f>
        <v>0.3333333333333333</v>
      </c>
      <c r="O20" s="5"/>
      <c r="P20" s="144" t="s">
        <v>59</v>
      </c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</row>
    <row r="21" spans="1:52" ht="15" customHeight="1">
      <c r="A21" s="1"/>
      <c r="B21" s="75" t="s">
        <v>25</v>
      </c>
      <c r="C21" s="75"/>
      <c r="D21" s="42">
        <v>7.86</v>
      </c>
      <c r="E21" s="21"/>
      <c r="F21" s="11" t="s">
        <v>127</v>
      </c>
      <c r="G21" s="13">
        <f>IF($D$14="FF",I21,IF($D$14="4WD",K21,J21))</f>
        <v>4</v>
      </c>
      <c r="H21" s="9"/>
      <c r="I21" s="13">
        <f>ROUND(10-4*(N16-0.4)/0.25-6*(D30+3)/6,0)</f>
        <v>4</v>
      </c>
      <c r="J21" s="13">
        <f>ROUND(10-4*(N16-0.4)/0.25-6*(D30+3)/6,0)</f>
        <v>4</v>
      </c>
      <c r="K21" s="13">
        <f>ROUND(10-4*(N16-0.4)/0.25-6*(D30+3)/6,0)</f>
        <v>4</v>
      </c>
      <c r="L21" s="10"/>
      <c r="M21" s="3" t="s">
        <v>33</v>
      </c>
      <c r="N21" s="14">
        <f>N20+(N19-N20)*4</f>
        <v>10</v>
      </c>
      <c r="O21" s="5"/>
      <c r="P21" s="176" t="s">
        <v>90</v>
      </c>
      <c r="Q21" s="117" t="s">
        <v>91</v>
      </c>
      <c r="R21" s="117"/>
      <c r="S21" s="117"/>
      <c r="T21" s="117" t="s">
        <v>92</v>
      </c>
      <c r="U21" s="117"/>
      <c r="V21" s="117"/>
      <c r="W21" s="117" t="s">
        <v>93</v>
      </c>
      <c r="X21" s="117"/>
      <c r="Y21" s="117"/>
      <c r="Z21" s="117" t="s">
        <v>94</v>
      </c>
      <c r="AA21" s="117"/>
      <c r="AB21" s="117"/>
      <c r="AC21" s="117" t="s">
        <v>95</v>
      </c>
      <c r="AD21" s="117"/>
      <c r="AE21" s="117"/>
      <c r="AG21" s="180" t="s">
        <v>102</v>
      </c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</row>
    <row r="22" spans="1:52" ht="15" customHeight="1">
      <c r="A22" s="1"/>
      <c r="B22" s="76" t="s">
        <v>26</v>
      </c>
      <c r="C22" s="76"/>
      <c r="D22" s="44">
        <v>6.9</v>
      </c>
      <c r="E22" s="1"/>
      <c r="F22" s="18" t="s">
        <v>128</v>
      </c>
      <c r="G22" s="19">
        <f>IF($D$14="FF",I22,IF($D$14="4WD",K22,J22))</f>
        <v>6</v>
      </c>
      <c r="H22" s="9"/>
      <c r="I22" s="19">
        <f>ROUND(4*(N16-0.4)/0.25+6*(D30+3)/6,0)</f>
        <v>6</v>
      </c>
      <c r="J22" s="19">
        <f>ROUND(4*(N16-0.4)/0.25+6*(D30+3)/6,0)</f>
        <v>6</v>
      </c>
      <c r="K22" s="19">
        <f>ROUND(4*(N16-0.4)/0.25+6*(D30+3)/6,0)</f>
        <v>6</v>
      </c>
      <c r="L22" s="10"/>
      <c r="M22" s="3" t="s">
        <v>35</v>
      </c>
      <c r="N22" s="14">
        <f>1</f>
        <v>1</v>
      </c>
      <c r="O22" s="5"/>
      <c r="P22" s="176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G22" s="169" t="s">
        <v>103</v>
      </c>
      <c r="AH22" s="169"/>
      <c r="AI22" s="169"/>
      <c r="AJ22" s="169" t="s">
        <v>104</v>
      </c>
      <c r="AK22" s="169"/>
      <c r="AL22" s="169"/>
      <c r="AM22" s="170" t="s">
        <v>108</v>
      </c>
      <c r="AN22" s="170"/>
      <c r="AO22" s="170"/>
      <c r="AP22" s="181" t="s">
        <v>106</v>
      </c>
      <c r="AQ22" s="182"/>
      <c r="AR22" s="117" t="s">
        <v>105</v>
      </c>
      <c r="AS22" s="117"/>
      <c r="AT22" s="117"/>
      <c r="AU22" s="117" t="s">
        <v>94</v>
      </c>
      <c r="AV22" s="117"/>
      <c r="AW22" s="117"/>
      <c r="AX22" s="117" t="s">
        <v>95</v>
      </c>
      <c r="AY22" s="117"/>
      <c r="AZ22" s="117"/>
    </row>
    <row r="23" spans="1:52" ht="15" customHeight="1">
      <c r="A23" s="1"/>
      <c r="B23" s="76" t="s">
        <v>28</v>
      </c>
      <c r="C23" s="76"/>
      <c r="D23" s="45">
        <v>22.37</v>
      </c>
      <c r="E23" s="1"/>
      <c r="H23" s="9"/>
      <c r="L23" s="10"/>
      <c r="M23" s="3" t="s">
        <v>36</v>
      </c>
      <c r="N23" s="14">
        <f>2/3</f>
        <v>0.6666666666666666</v>
      </c>
      <c r="O23" s="5"/>
      <c r="P23" s="176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G23" s="117"/>
      <c r="AH23" s="117"/>
      <c r="AI23" s="117"/>
      <c r="AJ23" s="117"/>
      <c r="AK23" s="117"/>
      <c r="AL23" s="117"/>
      <c r="AM23" s="171"/>
      <c r="AN23" s="171"/>
      <c r="AO23" s="171"/>
      <c r="AP23" s="181"/>
      <c r="AQ23" s="182"/>
      <c r="AR23" s="117"/>
      <c r="AS23" s="117"/>
      <c r="AT23" s="117"/>
      <c r="AU23" s="117"/>
      <c r="AV23" s="117"/>
      <c r="AW23" s="117"/>
      <c r="AX23" s="117"/>
      <c r="AY23" s="117"/>
      <c r="AZ23" s="117"/>
    </row>
    <row r="24" spans="1:52" ht="15" customHeight="1">
      <c r="A24" s="1"/>
      <c r="B24" s="80" t="s">
        <v>30</v>
      </c>
      <c r="C24" s="81"/>
      <c r="D24" s="42">
        <v>5.56</v>
      </c>
      <c r="E24" s="46"/>
      <c r="F24" s="7" t="s">
        <v>137</v>
      </c>
      <c r="G24" s="8" t="str">
        <f aca="true" t="shared" si="4" ref="G24:G30">IF($D$14="FF",I24,IF($D$14="4WD",K24,J24))</f>
        <v>RWD</v>
      </c>
      <c r="H24" s="34"/>
      <c r="I24" s="8" t="s">
        <v>109</v>
      </c>
      <c r="J24" s="8" t="s">
        <v>110</v>
      </c>
      <c r="K24" s="8" t="s">
        <v>111</v>
      </c>
      <c r="L24" s="1"/>
      <c r="M24" s="3" t="s">
        <v>38</v>
      </c>
      <c r="N24" s="14">
        <f>N23+(N22-N23)*4</f>
        <v>2</v>
      </c>
      <c r="O24" s="5"/>
      <c r="P24" s="176"/>
      <c r="Q24" s="117"/>
      <c r="R24" s="117"/>
      <c r="S24" s="117"/>
      <c r="T24" s="117"/>
      <c r="U24" s="117"/>
      <c r="V24" s="117"/>
      <c r="W24" s="117"/>
      <c r="X24" s="117"/>
      <c r="Y24" s="117"/>
      <c r="Z24" s="117" t="s">
        <v>96</v>
      </c>
      <c r="AA24" s="117"/>
      <c r="AB24" s="117"/>
      <c r="AC24" s="117" t="s">
        <v>97</v>
      </c>
      <c r="AD24" s="117"/>
      <c r="AE24" s="117"/>
      <c r="AG24" s="118"/>
      <c r="AH24" s="118"/>
      <c r="AI24" s="118"/>
      <c r="AJ24" s="118"/>
      <c r="AK24" s="118"/>
      <c r="AL24" s="118"/>
      <c r="AM24" s="172"/>
      <c r="AN24" s="172"/>
      <c r="AO24" s="172"/>
      <c r="AP24" s="181"/>
      <c r="AQ24" s="182"/>
      <c r="AR24" s="118"/>
      <c r="AS24" s="118"/>
      <c r="AT24" s="118"/>
      <c r="AU24" s="118"/>
      <c r="AV24" s="118"/>
      <c r="AW24" s="118"/>
      <c r="AX24" s="118"/>
      <c r="AY24" s="118"/>
      <c r="AZ24" s="118"/>
    </row>
    <row r="25" spans="1:52" ht="12.75">
      <c r="A25" s="1"/>
      <c r="B25" s="82" t="s">
        <v>32</v>
      </c>
      <c r="C25" s="83"/>
      <c r="D25" s="44">
        <v>4.92</v>
      </c>
      <c r="E25" s="47"/>
      <c r="F25" s="11" t="s">
        <v>129</v>
      </c>
      <c r="G25" s="13" t="str">
        <f t="shared" si="4"/>
        <v>-</v>
      </c>
      <c r="H25" s="34"/>
      <c r="I25" s="13">
        <f>ROUND(4+D33,0)</f>
        <v>7</v>
      </c>
      <c r="J25" s="13" t="s">
        <v>40</v>
      </c>
      <c r="K25" s="13">
        <f>ROUND(4+D33,0)</f>
        <v>7</v>
      </c>
      <c r="L25" s="1"/>
      <c r="M25" s="3" t="s">
        <v>41</v>
      </c>
      <c r="N25" s="17">
        <v>0.05</v>
      </c>
      <c r="O25" s="5"/>
      <c r="P25" s="48">
        <v>1</v>
      </c>
      <c r="Q25" s="177">
        <v>3.017</v>
      </c>
      <c r="R25" s="178"/>
      <c r="S25" s="179"/>
      <c r="T25" s="175">
        <v>4.017</v>
      </c>
      <c r="U25" s="175"/>
      <c r="V25" s="175"/>
      <c r="W25" s="173">
        <f>(T25-Q25)*VLOOKUP($P$20,$P$38:$AZ$47,14,FALSE)+Q25</f>
        <v>3.017</v>
      </c>
      <c r="X25" s="173"/>
      <c r="Y25" s="173"/>
      <c r="Z25" s="137">
        <f aca="true" t="shared" si="5" ref="Z25:Z32">IF(P25=$AC$3,($AC$6/(W25*AC$35))*$AC$16*60/1000,($AC$4/(W25*AC$35))*$AC$16*60/1000)</f>
        <v>91.66952182414765</v>
      </c>
      <c r="AA25" s="137"/>
      <c r="AB25" s="137"/>
      <c r="AC25" s="138">
        <v>0</v>
      </c>
      <c r="AD25" s="138"/>
      <c r="AE25" s="138"/>
      <c r="AG25" s="136">
        <f>IF(P25=$AC$3,ROUND($AC$6/($AC$35*$T25)*$AC$16*60/1000+0.5,0),ROUND($AC$4/($AC$35*$T25)*$AC$16*60/1000+0.5,0))</f>
        <v>69</v>
      </c>
      <c r="AH25" s="136"/>
      <c r="AI25" s="136"/>
      <c r="AJ25" s="136">
        <f>IF(P25=$AC$3,ROUND($AC$6/($AC$35*$Q25)*$AC$16*60/1000-0.5,0),ROUND($AC$4/($AC$35*$Q25)*$AC$16*60/1000-0.5,0))</f>
        <v>91</v>
      </c>
      <c r="AK25" s="136"/>
      <c r="AL25" s="136"/>
      <c r="AM25" s="186"/>
      <c r="AN25" s="186"/>
      <c r="AO25" s="186"/>
      <c r="AP25" s="181"/>
      <c r="AQ25" s="182"/>
      <c r="AR25" s="173">
        <f aca="true" t="shared" si="6" ref="AR25:AR32">IF($P25=$AC$3,$AC$6/($AC$35*AU25)*$AC$16*60/1000,$AC$4/($AC$35*AU25)*$AC$16*60/1000)</f>
        <v>3.017000000000001</v>
      </c>
      <c r="AS25" s="173"/>
      <c r="AT25" s="174"/>
      <c r="AU25" s="124">
        <f aca="true" t="shared" si="7" ref="AU25:AU32">IF(($P25&gt;$AC$3)+($AM25&lt;$AG25)+($AM25&gt;$AJ25),$Z25,$AM25)</f>
        <v>91.66952182414765</v>
      </c>
      <c r="AV25" s="125"/>
      <c r="AW25" s="126"/>
      <c r="AX25" s="161">
        <v>0</v>
      </c>
      <c r="AY25" s="162"/>
      <c r="AZ25" s="162"/>
    </row>
    <row r="26" spans="1:52" ht="12.75">
      <c r="A26" s="1"/>
      <c r="B26" s="84" t="s">
        <v>34</v>
      </c>
      <c r="C26" s="85"/>
      <c r="D26" s="45">
        <v>15.08</v>
      </c>
      <c r="E26" s="3"/>
      <c r="F26" s="43" t="s">
        <v>130</v>
      </c>
      <c r="G26" s="49" t="str">
        <f t="shared" si="4"/>
        <v>-</v>
      </c>
      <c r="H26" s="34"/>
      <c r="I26" s="49">
        <f>ROUND(12+3*D33,0)</f>
        <v>21</v>
      </c>
      <c r="J26" s="49" t="s">
        <v>40</v>
      </c>
      <c r="K26" s="49">
        <f>ROUND(12+3*D33,0)</f>
        <v>21</v>
      </c>
      <c r="L26" s="1"/>
      <c r="M26" s="3" t="s">
        <v>43</v>
      </c>
      <c r="N26" s="17">
        <v>0.2</v>
      </c>
      <c r="O26" s="5"/>
      <c r="P26" s="50">
        <v>2</v>
      </c>
      <c r="Q26" s="132">
        <v>2.236</v>
      </c>
      <c r="R26" s="133"/>
      <c r="S26" s="134"/>
      <c r="T26" s="135">
        <v>2.834</v>
      </c>
      <c r="U26" s="135"/>
      <c r="V26" s="135"/>
      <c r="W26" s="106">
        <f>(T26-Q26)*VLOOKUP($P$20,$P$38:$AZ$47,17,FALSE)+Q26</f>
        <v>2.3556000000000004</v>
      </c>
      <c r="X26" s="106"/>
      <c r="Y26" s="106"/>
      <c r="Z26" s="131">
        <f t="shared" si="5"/>
        <v>117.40828126314037</v>
      </c>
      <c r="AA26" s="131"/>
      <c r="AB26" s="131"/>
      <c r="AC26" s="131">
        <f aca="true" t="shared" si="8" ref="AC26:AC32">$AC$4*W26/W25</f>
        <v>5855.817036791516</v>
      </c>
      <c r="AD26" s="131"/>
      <c r="AE26" s="131"/>
      <c r="AG26" s="90">
        <f aca="true" t="shared" si="9" ref="AG26:AG32">IF(P26=$AC$3,ROUND($AC$6/($AC$35*$T26)*$AC$16*60/1000+0.5,0),ROUND($AC$4/($AC$35*$T26)*$AC$16*60/1000+0.5,0))</f>
        <v>98</v>
      </c>
      <c r="AH26" s="90"/>
      <c r="AI26" s="90"/>
      <c r="AJ26" s="90">
        <f aca="true" t="shared" si="10" ref="AJ26:AJ32">IF(P26=$AC$3,ROUND($AC$6/($AC$35*$Q26)*$AC$16*60/1000-0.5,0),ROUND($AC$4/($AC$35*$Q26)*$AC$16*60/1000-0.5,0))</f>
        <v>123</v>
      </c>
      <c r="AK26" s="90"/>
      <c r="AL26" s="90"/>
      <c r="AM26" s="115"/>
      <c r="AN26" s="115"/>
      <c r="AO26" s="115"/>
      <c r="AP26" s="181"/>
      <c r="AQ26" s="182"/>
      <c r="AR26" s="106">
        <f t="shared" si="6"/>
        <v>2.355600000000001</v>
      </c>
      <c r="AS26" s="106"/>
      <c r="AT26" s="107"/>
      <c r="AU26" s="183">
        <f t="shared" si="7"/>
        <v>117.40828126314037</v>
      </c>
      <c r="AV26" s="184"/>
      <c r="AW26" s="185"/>
      <c r="AX26" s="101">
        <f aca="true" t="shared" si="11" ref="AX26:AX32">$AC$4*AR26/AR25</f>
        <v>5855.817036791515</v>
      </c>
      <c r="AY26" s="102"/>
      <c r="AZ26" s="102"/>
    </row>
    <row r="27" spans="1:52" ht="12.75">
      <c r="A27" s="1"/>
      <c r="E27" s="22"/>
      <c r="F27" s="18" t="s">
        <v>131</v>
      </c>
      <c r="G27" s="19" t="str">
        <f t="shared" si="4"/>
        <v>-</v>
      </c>
      <c r="H27" s="34"/>
      <c r="I27" s="19">
        <f>ROUND((D30-10)/-10*8*(8+2*D33)*POWER((N16-0.65),2)+4+D33,0)</f>
        <v>8</v>
      </c>
      <c r="J27" s="19" t="s">
        <v>40</v>
      </c>
      <c r="K27" s="19">
        <f>ROUND((D30-10)/-10*8*(8+2*D33)*POWER((N16-0.65),2)+4+D33,0)</f>
        <v>8</v>
      </c>
      <c r="L27" s="1"/>
      <c r="M27" s="3" t="s">
        <v>45</v>
      </c>
      <c r="N27" s="17">
        <v>0.2</v>
      </c>
      <c r="O27" s="5"/>
      <c r="P27" s="50">
        <v>3</v>
      </c>
      <c r="Q27" s="132">
        <v>1.736</v>
      </c>
      <c r="R27" s="133"/>
      <c r="S27" s="134"/>
      <c r="T27" s="135">
        <v>2.12</v>
      </c>
      <c r="U27" s="135"/>
      <c r="V27" s="135"/>
      <c r="W27" s="106">
        <f>(T27-Q27)*VLOOKUP($P$20,$P$38:$AZ$47,20,FALSE)+Q27</f>
        <v>1.8896000000000002</v>
      </c>
      <c r="X27" s="106"/>
      <c r="Y27" s="106"/>
      <c r="Z27" s="131">
        <f t="shared" si="5"/>
        <v>146.36269440275902</v>
      </c>
      <c r="AA27" s="131"/>
      <c r="AB27" s="131"/>
      <c r="AC27" s="131">
        <f t="shared" si="8"/>
        <v>6016.3015792154865</v>
      </c>
      <c r="AD27" s="131"/>
      <c r="AE27" s="131"/>
      <c r="AG27" s="90">
        <f t="shared" si="9"/>
        <v>131</v>
      </c>
      <c r="AH27" s="90"/>
      <c r="AI27" s="90"/>
      <c r="AJ27" s="90">
        <f t="shared" si="10"/>
        <v>159</v>
      </c>
      <c r="AK27" s="90"/>
      <c r="AL27" s="90"/>
      <c r="AM27" s="115"/>
      <c r="AN27" s="115"/>
      <c r="AO27" s="115"/>
      <c r="AP27" s="181"/>
      <c r="AQ27" s="182"/>
      <c r="AR27" s="106">
        <f t="shared" si="6"/>
        <v>1.8896000000000006</v>
      </c>
      <c r="AS27" s="106"/>
      <c r="AT27" s="107"/>
      <c r="AU27" s="183">
        <f t="shared" si="7"/>
        <v>146.36269440275902</v>
      </c>
      <c r="AV27" s="184"/>
      <c r="AW27" s="185"/>
      <c r="AX27" s="101">
        <f t="shared" si="11"/>
        <v>6016.3015792154865</v>
      </c>
      <c r="AY27" s="102"/>
      <c r="AZ27" s="102"/>
    </row>
    <row r="28" spans="1:52" ht="12.75">
      <c r="A28" s="1"/>
      <c r="B28" s="72" t="s">
        <v>37</v>
      </c>
      <c r="C28" s="72"/>
      <c r="D28" s="72"/>
      <c r="E28" s="22"/>
      <c r="F28" s="11" t="s">
        <v>132</v>
      </c>
      <c r="G28" s="13">
        <f t="shared" si="4"/>
        <v>12</v>
      </c>
      <c r="H28" s="9"/>
      <c r="I28" s="13" t="s">
        <v>40</v>
      </c>
      <c r="J28" s="13">
        <f>ROUND((D30-14/3)/(-14/3)*16/3*(6+9*D33)*POWER((N16-0.65),2)+2+3*D33,0)</f>
        <v>12</v>
      </c>
      <c r="K28" s="13">
        <f>ROUND((D30-14/3)/(-14/3)*16/3*(6+9*D33)*POWER((N16-0.65),2)+2+3*D33,0)</f>
        <v>12</v>
      </c>
      <c r="L28" s="10"/>
      <c r="O28" s="5"/>
      <c r="P28" s="50">
        <v>4</v>
      </c>
      <c r="Q28" s="132">
        <v>1.407</v>
      </c>
      <c r="R28" s="133"/>
      <c r="S28" s="134"/>
      <c r="T28" s="135">
        <v>1.66</v>
      </c>
      <c r="U28" s="135"/>
      <c r="V28" s="135"/>
      <c r="W28" s="106">
        <f>(T28-Q28)*VLOOKUP($P$20,$P$38:$AZ$47,23,FALSE)+Q28</f>
        <v>1.5588</v>
      </c>
      <c r="X28" s="106"/>
      <c r="Y28" s="106"/>
      <c r="Z28" s="131">
        <f t="shared" si="5"/>
        <v>177.42298392574642</v>
      </c>
      <c r="AA28" s="131"/>
      <c r="AB28" s="131"/>
      <c r="AC28" s="131">
        <f t="shared" si="8"/>
        <v>6187.023708721422</v>
      </c>
      <c r="AD28" s="131"/>
      <c r="AE28" s="131"/>
      <c r="AG28" s="90">
        <f t="shared" si="9"/>
        <v>167</v>
      </c>
      <c r="AH28" s="90"/>
      <c r="AI28" s="90"/>
      <c r="AJ28" s="90">
        <f t="shared" si="10"/>
        <v>196</v>
      </c>
      <c r="AK28" s="90"/>
      <c r="AL28" s="90"/>
      <c r="AM28" s="115"/>
      <c r="AN28" s="115"/>
      <c r="AO28" s="115"/>
      <c r="AP28" s="181"/>
      <c r="AQ28" s="182"/>
      <c r="AR28" s="106">
        <f t="shared" si="6"/>
        <v>1.5587999999999997</v>
      </c>
      <c r="AS28" s="106"/>
      <c r="AT28" s="107"/>
      <c r="AU28" s="183">
        <f t="shared" si="7"/>
        <v>177.42298392574642</v>
      </c>
      <c r="AV28" s="184"/>
      <c r="AW28" s="185"/>
      <c r="AX28" s="101">
        <f t="shared" si="11"/>
        <v>6187.02370872142</v>
      </c>
      <c r="AY28" s="102"/>
      <c r="AZ28" s="102"/>
    </row>
    <row r="29" spans="1:52" ht="12.75">
      <c r="A29" s="1"/>
      <c r="B29" s="79" t="s">
        <v>39</v>
      </c>
      <c r="C29" s="79"/>
      <c r="D29" s="51">
        <v>2</v>
      </c>
      <c r="E29" s="2"/>
      <c r="F29" s="43" t="s">
        <v>133</v>
      </c>
      <c r="G29" s="49">
        <f t="shared" si="4"/>
        <v>33</v>
      </c>
      <c r="H29" s="9"/>
      <c r="I29" s="49" t="s">
        <v>40</v>
      </c>
      <c r="J29" s="49">
        <f>ROUND(6+9*D33,0)</f>
        <v>33</v>
      </c>
      <c r="K29" s="49">
        <f>ROUND(6+9*D33,0)</f>
        <v>33</v>
      </c>
      <c r="L29" s="10"/>
      <c r="M29" s="52"/>
      <c r="N29" s="52"/>
      <c r="O29" s="5"/>
      <c r="P29" s="50">
        <v>5</v>
      </c>
      <c r="Q29" s="132">
        <v>1.19</v>
      </c>
      <c r="R29" s="133"/>
      <c r="S29" s="134"/>
      <c r="T29" s="135">
        <v>1.356</v>
      </c>
      <c r="U29" s="135"/>
      <c r="V29" s="135"/>
      <c r="W29" s="106">
        <f>(T29-Q29)*VLOOKUP($P$20,$P$38:$AZ$47,26,FALSE)+Q29</f>
        <v>1.3228</v>
      </c>
      <c r="X29" s="106"/>
      <c r="Y29" s="106"/>
      <c r="Z29" s="131">
        <f t="shared" si="5"/>
        <v>209.07691816106257</v>
      </c>
      <c r="AA29" s="131"/>
      <c r="AB29" s="131"/>
      <c r="AC29" s="131">
        <f t="shared" si="8"/>
        <v>6364.511162432641</v>
      </c>
      <c r="AD29" s="131"/>
      <c r="AE29" s="131"/>
      <c r="AG29" s="90">
        <f t="shared" si="9"/>
        <v>204</v>
      </c>
      <c r="AH29" s="90"/>
      <c r="AI29" s="90"/>
      <c r="AJ29" s="90">
        <f t="shared" si="10"/>
        <v>232</v>
      </c>
      <c r="AK29" s="90"/>
      <c r="AL29" s="90"/>
      <c r="AM29" s="115"/>
      <c r="AN29" s="115"/>
      <c r="AO29" s="115"/>
      <c r="AP29" s="181"/>
      <c r="AQ29" s="182"/>
      <c r="AR29" s="106">
        <f t="shared" si="6"/>
        <v>1.3227999999999995</v>
      </c>
      <c r="AS29" s="106"/>
      <c r="AT29" s="107"/>
      <c r="AU29" s="183">
        <f t="shared" si="7"/>
        <v>209.07691816106257</v>
      </c>
      <c r="AV29" s="184"/>
      <c r="AW29" s="185"/>
      <c r="AX29" s="101">
        <f t="shared" si="11"/>
        <v>6364.511162432639</v>
      </c>
      <c r="AY29" s="102"/>
      <c r="AZ29" s="102"/>
    </row>
    <row r="30" spans="1:52" ht="12.75">
      <c r="A30" s="1"/>
      <c r="B30" s="75" t="s">
        <v>42</v>
      </c>
      <c r="C30" s="75"/>
      <c r="D30" s="40">
        <v>0</v>
      </c>
      <c r="E30" s="3"/>
      <c r="F30" s="18" t="s">
        <v>134</v>
      </c>
      <c r="G30" s="19">
        <f t="shared" si="4"/>
        <v>13</v>
      </c>
      <c r="H30" s="34"/>
      <c r="I30" s="19" t="s">
        <v>40</v>
      </c>
      <c r="J30" s="19">
        <f>ROUND((D30-14/3)/(-14/3)*32/3*(6+9*D33)*POWER((N16-0.65),2)+2+3*D33,0)</f>
        <v>13</v>
      </c>
      <c r="K30" s="19">
        <f>ROUND((D30-14/3)/(-14/3)*32/3*(6+9*D33)*POWER((N16-0.65),2)+2+3*D33,0)</f>
        <v>13</v>
      </c>
      <c r="L30" s="1"/>
      <c r="M30" s="52"/>
      <c r="N30" s="52"/>
      <c r="O30" s="5"/>
      <c r="P30" s="50">
        <v>6</v>
      </c>
      <c r="Q30" s="132">
        <v>0.886</v>
      </c>
      <c r="R30" s="133"/>
      <c r="S30" s="134"/>
      <c r="T30" s="135">
        <v>1.157</v>
      </c>
      <c r="U30" s="135"/>
      <c r="V30" s="135"/>
      <c r="W30" s="106">
        <f>(T30-Q30)*VLOOKUP($P$20,$P$38:$AZ$47,29,FALSE)+Q30</f>
        <v>1.157</v>
      </c>
      <c r="X30" s="106"/>
      <c r="Y30" s="106"/>
      <c r="Z30" s="131">
        <f t="shared" si="5"/>
        <v>254.973849466739</v>
      </c>
      <c r="AA30" s="131"/>
      <c r="AB30" s="131"/>
      <c r="AC30" s="131">
        <f t="shared" si="8"/>
        <v>6559.948593891745</v>
      </c>
      <c r="AD30" s="131"/>
      <c r="AE30" s="131"/>
      <c r="AG30" s="90">
        <f t="shared" si="9"/>
        <v>255</v>
      </c>
      <c r="AH30" s="90"/>
      <c r="AI30" s="90"/>
      <c r="AJ30" s="90">
        <f t="shared" si="10"/>
        <v>332</v>
      </c>
      <c r="AK30" s="90"/>
      <c r="AL30" s="90"/>
      <c r="AM30" s="115"/>
      <c r="AN30" s="115"/>
      <c r="AO30" s="115"/>
      <c r="AP30" s="181"/>
      <c r="AQ30" s="182"/>
      <c r="AR30" s="106">
        <f t="shared" si="6"/>
        <v>1.157</v>
      </c>
      <c r="AS30" s="106"/>
      <c r="AT30" s="107"/>
      <c r="AU30" s="183">
        <f t="shared" si="7"/>
        <v>254.973849466739</v>
      </c>
      <c r="AV30" s="184"/>
      <c r="AW30" s="185"/>
      <c r="AX30" s="101">
        <f t="shared" si="11"/>
        <v>6559.948593891747</v>
      </c>
      <c r="AY30" s="102"/>
      <c r="AZ30" s="102"/>
    </row>
    <row r="31" spans="1:52" ht="12.75">
      <c r="A31" s="1"/>
      <c r="B31" s="74" t="s">
        <v>44</v>
      </c>
      <c r="C31" s="74"/>
      <c r="D31" s="41">
        <v>3</v>
      </c>
      <c r="E31" s="53"/>
      <c r="F31" s="1"/>
      <c r="G31" s="1"/>
      <c r="H31" s="34"/>
      <c r="I31" s="1"/>
      <c r="J31" s="1"/>
      <c r="K31" s="1"/>
      <c r="L31" s="1"/>
      <c r="M31" s="52"/>
      <c r="N31" s="52"/>
      <c r="O31" s="5"/>
      <c r="P31" s="50">
        <v>7</v>
      </c>
      <c r="Q31" s="127">
        <v>0.783</v>
      </c>
      <c r="R31" s="128"/>
      <c r="S31" s="129"/>
      <c r="T31" s="130">
        <v>1.018</v>
      </c>
      <c r="U31" s="130"/>
      <c r="V31" s="130"/>
      <c r="W31" s="106">
        <f>(T31-Q31)*VLOOKUP($P$20,$P$38:$AZ$47,32,FALSE)+Q31</f>
        <v>1.018</v>
      </c>
      <c r="X31" s="106"/>
      <c r="Y31" s="106"/>
      <c r="Z31" s="131">
        <f t="shared" si="5"/>
        <v>271.67676556331384</v>
      </c>
      <c r="AA31" s="131"/>
      <c r="AB31" s="131"/>
      <c r="AC31" s="131">
        <f t="shared" si="8"/>
        <v>6598.962834917891</v>
      </c>
      <c r="AD31" s="131"/>
      <c r="AE31" s="131"/>
      <c r="AG31" s="90">
        <f t="shared" si="9"/>
        <v>272</v>
      </c>
      <c r="AH31" s="90"/>
      <c r="AI31" s="90"/>
      <c r="AJ31" s="90">
        <f t="shared" si="10"/>
        <v>353</v>
      </c>
      <c r="AK31" s="90"/>
      <c r="AL31" s="90"/>
      <c r="AM31" s="115"/>
      <c r="AN31" s="115"/>
      <c r="AO31" s="115"/>
      <c r="AP31" s="181"/>
      <c r="AQ31" s="182"/>
      <c r="AR31" s="106">
        <f t="shared" si="6"/>
        <v>1.018</v>
      </c>
      <c r="AS31" s="106"/>
      <c r="AT31" s="107"/>
      <c r="AU31" s="183">
        <f t="shared" si="7"/>
        <v>271.67676556331384</v>
      </c>
      <c r="AV31" s="184"/>
      <c r="AW31" s="185"/>
      <c r="AX31" s="101">
        <f t="shared" si="11"/>
        <v>6598.962834917891</v>
      </c>
      <c r="AY31" s="102"/>
      <c r="AZ31" s="102"/>
    </row>
    <row r="32" spans="1:52" ht="12.75">
      <c r="A32" s="1"/>
      <c r="B32" s="92" t="s">
        <v>46</v>
      </c>
      <c r="C32" s="92"/>
      <c r="D32" s="54">
        <v>0.5</v>
      </c>
      <c r="E32" s="53"/>
      <c r="F32" s="7" t="s">
        <v>138</v>
      </c>
      <c r="G32" s="8" t="str">
        <f>IF($D$14="FF",I32,IF($D$14="4WD",K32,J32))</f>
        <v>RWD</v>
      </c>
      <c r="H32" s="34"/>
      <c r="I32" s="8" t="s">
        <v>109</v>
      </c>
      <c r="J32" s="8" t="s">
        <v>110</v>
      </c>
      <c r="K32" s="8" t="s">
        <v>111</v>
      </c>
      <c r="L32" s="1"/>
      <c r="M32" s="52"/>
      <c r="N32" s="52"/>
      <c r="O32" s="5"/>
      <c r="P32" s="55">
        <v>8</v>
      </c>
      <c r="Q32" s="119">
        <v>0.6</v>
      </c>
      <c r="R32" s="120"/>
      <c r="S32" s="121"/>
      <c r="T32" s="122">
        <v>0.7</v>
      </c>
      <c r="U32" s="122"/>
      <c r="V32" s="122"/>
      <c r="W32" s="110">
        <f>(T32-Q32)*VLOOKUP($P$20,$P$38:$AZ$47,35,FALSE)+Q32</f>
        <v>0.7</v>
      </c>
      <c r="X32" s="110"/>
      <c r="Y32" s="110"/>
      <c r="Z32" s="123">
        <f t="shared" si="5"/>
        <v>395.09563906207654</v>
      </c>
      <c r="AA32" s="123"/>
      <c r="AB32" s="123"/>
      <c r="AC32" s="123">
        <f t="shared" si="8"/>
        <v>5157.170923379174</v>
      </c>
      <c r="AD32" s="123"/>
      <c r="AE32" s="123"/>
      <c r="AG32" s="114">
        <f t="shared" si="9"/>
        <v>396</v>
      </c>
      <c r="AH32" s="114"/>
      <c r="AI32" s="114"/>
      <c r="AJ32" s="114">
        <f t="shared" si="10"/>
        <v>460</v>
      </c>
      <c r="AK32" s="114"/>
      <c r="AL32" s="114"/>
      <c r="AM32" s="116"/>
      <c r="AN32" s="116"/>
      <c r="AO32" s="116"/>
      <c r="AP32" s="181"/>
      <c r="AQ32" s="182"/>
      <c r="AR32" s="110">
        <f t="shared" si="6"/>
        <v>0.6999999999999998</v>
      </c>
      <c r="AS32" s="110"/>
      <c r="AT32" s="111"/>
      <c r="AU32" s="103">
        <f t="shared" si="7"/>
        <v>395.09563906207654</v>
      </c>
      <c r="AV32" s="104"/>
      <c r="AW32" s="105"/>
      <c r="AX32" s="108">
        <f t="shared" si="11"/>
        <v>5157.1709233791735</v>
      </c>
      <c r="AY32" s="109"/>
      <c r="AZ32" s="109"/>
    </row>
    <row r="33" spans="1:39" ht="12.75">
      <c r="A33" s="1"/>
      <c r="B33" s="79" t="s">
        <v>47</v>
      </c>
      <c r="C33" s="79"/>
      <c r="D33" s="51">
        <v>3</v>
      </c>
      <c r="E33" s="22"/>
      <c r="F33" s="11" t="s">
        <v>127</v>
      </c>
      <c r="G33" s="56" t="str">
        <f>IF($D$14="FF",I33,IF($D$14="4WD",K33,J33))</f>
        <v>-</v>
      </c>
      <c r="H33" s="34"/>
      <c r="I33" s="56" t="s">
        <v>40</v>
      </c>
      <c r="J33" s="56" t="s">
        <v>40</v>
      </c>
      <c r="K33" s="13">
        <f>ROUND(45-30*(ROUND(D31,0)+3)/6,0)</f>
        <v>15</v>
      </c>
      <c r="L33" s="1"/>
      <c r="M33" s="52"/>
      <c r="N33" s="52"/>
      <c r="O33" s="5"/>
      <c r="P33" s="112" t="s">
        <v>98</v>
      </c>
      <c r="Q33" s="112"/>
      <c r="R33" s="112"/>
      <c r="S33" s="112"/>
      <c r="T33" s="112"/>
      <c r="U33" s="112"/>
      <c r="V33" s="112"/>
      <c r="W33" s="112"/>
      <c r="X33" s="112"/>
      <c r="Y33" s="112"/>
      <c r="Z33" s="112">
        <f ca="1">ROUND((AC6/(AC10*OFFSET(W25,AC3-1,0))*AC16*60/1000)+0.5,0)</f>
        <v>147</v>
      </c>
      <c r="AA33" s="112"/>
      <c r="AB33" s="112"/>
      <c r="AC33" s="112">
        <f ca="1">ROUND((AC6/(AC9*OFFSET(W25,AC3-1,0))*AC16*60/1000)-0.5,0)</f>
        <v>322</v>
      </c>
      <c r="AD33" s="112"/>
      <c r="AE33" s="112"/>
      <c r="AM33" s="57" t="s">
        <v>107</v>
      </c>
    </row>
    <row r="34" spans="1:31" ht="12.75">
      <c r="A34" s="1"/>
      <c r="E34" s="22"/>
      <c r="F34" s="18" t="s">
        <v>128</v>
      </c>
      <c r="G34" s="58" t="str">
        <f>IF($D$14="FF",I34,IF($D$14="4WD",K34,J34))</f>
        <v>-</v>
      </c>
      <c r="H34" s="34"/>
      <c r="I34" s="58" t="s">
        <v>40</v>
      </c>
      <c r="J34" s="58" t="s">
        <v>40</v>
      </c>
      <c r="K34" s="19">
        <f>ROUND(55+30*(ROUND(D31,0)+3)/6,0)</f>
        <v>85</v>
      </c>
      <c r="L34" s="1"/>
      <c r="M34" s="52"/>
      <c r="N34" s="52"/>
      <c r="O34" s="5"/>
      <c r="P34" s="91" t="s">
        <v>99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113">
        <v>255</v>
      </c>
      <c r="AD34" s="113"/>
      <c r="AE34" s="113"/>
    </row>
    <row r="35" spans="1:31" ht="12.75">
      <c r="A35" s="1"/>
      <c r="B35" s="72" t="s">
        <v>48</v>
      </c>
      <c r="C35" s="72"/>
      <c r="D35" s="72"/>
      <c r="E35" s="21"/>
      <c r="F35" s="1"/>
      <c r="G35" s="1"/>
      <c r="H35" s="34"/>
      <c r="I35" s="1"/>
      <c r="J35" s="1"/>
      <c r="K35" s="1"/>
      <c r="L35" s="1"/>
      <c r="M35" s="52"/>
      <c r="N35" s="52"/>
      <c r="O35" s="5"/>
      <c r="P35" s="141" t="s">
        <v>100</v>
      </c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00">
        <f ca="1">ROUND(AC6/(AC34*OFFSET(W25,AC3-1,0))*AC16*60/1000,3)</f>
        <v>3.162</v>
      </c>
      <c r="AD35" s="100"/>
      <c r="AE35" s="100"/>
    </row>
    <row r="36" spans="1:15" ht="12.75">
      <c r="A36" s="1"/>
      <c r="B36" s="75" t="s">
        <v>49</v>
      </c>
      <c r="C36" s="75"/>
      <c r="D36" s="40">
        <v>0</v>
      </c>
      <c r="E36" s="3"/>
      <c r="F36" s="7" t="s">
        <v>139</v>
      </c>
      <c r="G36" s="8" t="str">
        <f>IF($D$14="FF",I36,IF($D$14="4WD",K36,J36))</f>
        <v>RWD</v>
      </c>
      <c r="H36" s="34"/>
      <c r="I36" s="8" t="s">
        <v>109</v>
      </c>
      <c r="J36" s="8" t="s">
        <v>110</v>
      </c>
      <c r="K36" s="8" t="s">
        <v>111</v>
      </c>
      <c r="L36" s="1"/>
      <c r="M36" s="52"/>
      <c r="N36" s="52"/>
      <c r="O36" s="5"/>
    </row>
    <row r="37" spans="1:52" ht="15" customHeight="1">
      <c r="A37" s="1"/>
      <c r="B37" s="74" t="s">
        <v>50</v>
      </c>
      <c r="C37" s="74"/>
      <c r="D37" s="41">
        <v>5</v>
      </c>
      <c r="E37" s="3"/>
      <c r="F37" s="11" t="s">
        <v>127</v>
      </c>
      <c r="G37" s="59">
        <f>IF($D$14="FF",I37,IF($D$14="4WD",K37,J37))</f>
        <v>0</v>
      </c>
      <c r="H37" s="34"/>
      <c r="I37" s="59">
        <f>D36</f>
        <v>0</v>
      </c>
      <c r="J37" s="59">
        <f>D36</f>
        <v>0</v>
      </c>
      <c r="K37" s="59">
        <f>D36</f>
        <v>0</v>
      </c>
      <c r="L37" s="1"/>
      <c r="M37" s="52"/>
      <c r="N37" s="52"/>
      <c r="O37" s="5"/>
      <c r="P37" s="139" t="s">
        <v>101</v>
      </c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</row>
    <row r="38" spans="1:52" ht="12.75">
      <c r="A38" s="1"/>
      <c r="E38" s="60"/>
      <c r="F38" s="18" t="s">
        <v>128</v>
      </c>
      <c r="G38" s="19">
        <f>IF($D$14="FF",I38,IF($D$14="4WD",K38,J38))</f>
        <v>0</v>
      </c>
      <c r="H38" s="34"/>
      <c r="I38" s="19">
        <f>ROUND(MIN((D36*(1-D13)/D13*13/7-D36)*(N3-3)/-3+D36,D37),0)</f>
        <v>0</v>
      </c>
      <c r="J38" s="19">
        <f>ROUND(MIN((D36*(1-D13)/D13*13/7-D36)*(N3-3)/-3+D36,D37),0)</f>
        <v>0</v>
      </c>
      <c r="K38" s="19">
        <f>ROUND(MIN((D36*(1-D13)/D13*13/7-D36)*(N3-3)/-3+D36,D37),0)</f>
        <v>0</v>
      </c>
      <c r="L38" s="1"/>
      <c r="M38" s="52"/>
      <c r="N38" s="52"/>
      <c r="O38" s="5"/>
      <c r="P38" s="87" t="s">
        <v>59</v>
      </c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86">
        <v>0</v>
      </c>
      <c r="AD38" s="86"/>
      <c r="AE38" s="86"/>
      <c r="AF38" s="86">
        <v>0.2</v>
      </c>
      <c r="AG38" s="86"/>
      <c r="AH38" s="86"/>
      <c r="AI38" s="86">
        <v>0.4</v>
      </c>
      <c r="AJ38" s="86"/>
      <c r="AK38" s="86"/>
      <c r="AL38" s="86">
        <v>0.6</v>
      </c>
      <c r="AM38" s="86"/>
      <c r="AN38" s="86"/>
      <c r="AO38" s="86">
        <v>0.8</v>
      </c>
      <c r="AP38" s="86"/>
      <c r="AQ38" s="86"/>
      <c r="AR38" s="86">
        <v>1</v>
      </c>
      <c r="AS38" s="86"/>
      <c r="AT38" s="86"/>
      <c r="AU38" s="86">
        <v>1</v>
      </c>
      <c r="AV38" s="86"/>
      <c r="AW38" s="86"/>
      <c r="AX38" s="86">
        <v>1</v>
      </c>
      <c r="AY38" s="86"/>
      <c r="AZ38" s="86"/>
    </row>
    <row r="39" spans="1:52" ht="12.75">
      <c r="A39" s="1"/>
      <c r="B39" s="72" t="s">
        <v>51</v>
      </c>
      <c r="C39" s="72"/>
      <c r="D39" s="72"/>
      <c r="E39" s="60"/>
      <c r="F39" s="2"/>
      <c r="G39" s="2"/>
      <c r="H39" s="34"/>
      <c r="I39" s="2"/>
      <c r="J39" s="2"/>
      <c r="K39" s="2"/>
      <c r="L39" s="1"/>
      <c r="M39" s="52"/>
      <c r="N39" s="52"/>
      <c r="O39" s="5"/>
      <c r="P39" s="87" t="s">
        <v>65</v>
      </c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9"/>
      <c r="AC39" s="86">
        <v>0</v>
      </c>
      <c r="AD39" s="86"/>
      <c r="AE39" s="86"/>
      <c r="AF39" s="86">
        <v>0.25</v>
      </c>
      <c r="AG39" s="86"/>
      <c r="AH39" s="86"/>
      <c r="AI39" s="86">
        <v>0.55</v>
      </c>
      <c r="AJ39" s="86"/>
      <c r="AK39" s="86"/>
      <c r="AL39" s="86">
        <v>0.85</v>
      </c>
      <c r="AM39" s="86"/>
      <c r="AN39" s="86"/>
      <c r="AO39" s="86">
        <v>1</v>
      </c>
      <c r="AP39" s="86"/>
      <c r="AQ39" s="86"/>
      <c r="AR39" s="86">
        <v>1</v>
      </c>
      <c r="AS39" s="86"/>
      <c r="AT39" s="86"/>
      <c r="AU39" s="86">
        <v>1</v>
      </c>
      <c r="AV39" s="86"/>
      <c r="AW39" s="86"/>
      <c r="AX39" s="86">
        <v>1</v>
      </c>
      <c r="AY39" s="86"/>
      <c r="AZ39" s="86"/>
    </row>
    <row r="40" spans="1:52" ht="12.75">
      <c r="A40" s="1"/>
      <c r="B40" s="79" t="s">
        <v>52</v>
      </c>
      <c r="C40" s="79"/>
      <c r="D40" s="51" t="s">
        <v>53</v>
      </c>
      <c r="E40" s="2"/>
      <c r="F40" s="70" t="s">
        <v>54</v>
      </c>
      <c r="G40" s="70"/>
      <c r="H40" s="34"/>
      <c r="I40" s="61"/>
      <c r="J40" s="61"/>
      <c r="K40" s="61"/>
      <c r="L40" s="1"/>
      <c r="M40" s="52"/>
      <c r="N40" s="52"/>
      <c r="O40" s="5"/>
      <c r="P40" s="87" t="s">
        <v>66</v>
      </c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9"/>
      <c r="AC40" s="86">
        <v>0.5</v>
      </c>
      <c r="AD40" s="86"/>
      <c r="AE40" s="86"/>
      <c r="AF40" s="86">
        <v>0.6</v>
      </c>
      <c r="AG40" s="86"/>
      <c r="AH40" s="86"/>
      <c r="AI40" s="86">
        <v>0.7</v>
      </c>
      <c r="AJ40" s="86"/>
      <c r="AK40" s="86"/>
      <c r="AL40" s="86">
        <v>0.8</v>
      </c>
      <c r="AM40" s="86"/>
      <c r="AN40" s="86"/>
      <c r="AO40" s="86">
        <v>0.9</v>
      </c>
      <c r="AP40" s="86"/>
      <c r="AQ40" s="86"/>
      <c r="AR40" s="86">
        <v>1</v>
      </c>
      <c r="AS40" s="86"/>
      <c r="AT40" s="86"/>
      <c r="AU40" s="86">
        <v>1</v>
      </c>
      <c r="AV40" s="86"/>
      <c r="AW40" s="86"/>
      <c r="AX40" s="86">
        <v>1</v>
      </c>
      <c r="AY40" s="86"/>
      <c r="AZ40" s="86"/>
    </row>
    <row r="41" spans="1:52" ht="12.75">
      <c r="A41" s="1"/>
      <c r="B41" s="79" t="s">
        <v>55</v>
      </c>
      <c r="C41" s="79"/>
      <c r="D41" s="51" t="s">
        <v>56</v>
      </c>
      <c r="E41" s="2"/>
      <c r="F41" s="71" t="s">
        <v>142</v>
      </c>
      <c r="G41" s="71"/>
      <c r="H41" s="34"/>
      <c r="I41" s="61"/>
      <c r="J41" s="61"/>
      <c r="K41" s="61"/>
      <c r="L41" s="1"/>
      <c r="M41" s="52"/>
      <c r="N41" s="52"/>
      <c r="O41" s="5"/>
      <c r="P41" s="87" t="s">
        <v>67</v>
      </c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4"/>
      <c r="AC41" s="95">
        <v>0</v>
      </c>
      <c r="AD41" s="96"/>
      <c r="AE41" s="97"/>
      <c r="AF41" s="95">
        <v>0.25</v>
      </c>
      <c r="AG41" s="96"/>
      <c r="AH41" s="97"/>
      <c r="AI41" s="95">
        <v>0.5</v>
      </c>
      <c r="AJ41" s="96"/>
      <c r="AK41" s="97"/>
      <c r="AL41" s="95">
        <v>0.75</v>
      </c>
      <c r="AM41" s="96"/>
      <c r="AN41" s="97"/>
      <c r="AO41" s="95">
        <v>1</v>
      </c>
      <c r="AP41" s="96"/>
      <c r="AQ41" s="97"/>
      <c r="AR41" s="95">
        <v>0.97</v>
      </c>
      <c r="AS41" s="96"/>
      <c r="AT41" s="97"/>
      <c r="AU41" s="95">
        <v>1</v>
      </c>
      <c r="AV41" s="96"/>
      <c r="AW41" s="97"/>
      <c r="AX41" s="95">
        <v>1</v>
      </c>
      <c r="AY41" s="96"/>
      <c r="AZ41" s="97"/>
    </row>
    <row r="42" spans="1:52" ht="12.75">
      <c r="A42" s="1"/>
      <c r="B42" s="79" t="s">
        <v>140</v>
      </c>
      <c r="C42" s="79"/>
      <c r="D42" s="62" t="s">
        <v>57</v>
      </c>
      <c r="E42" s="2"/>
      <c r="F42" s="71"/>
      <c r="G42" s="71"/>
      <c r="H42" s="34"/>
      <c r="I42" s="61"/>
      <c r="J42" s="61"/>
      <c r="K42" s="61"/>
      <c r="L42" s="1"/>
      <c r="M42" s="52"/>
      <c r="N42" s="52"/>
      <c r="O42" s="5"/>
      <c r="P42" s="87" t="s">
        <v>68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9"/>
      <c r="AC42" s="86">
        <v>0</v>
      </c>
      <c r="AD42" s="86"/>
      <c r="AE42" s="86"/>
      <c r="AF42" s="95">
        <v>0.2</v>
      </c>
      <c r="AG42" s="96"/>
      <c r="AH42" s="97"/>
      <c r="AI42" s="95">
        <v>0.4</v>
      </c>
      <c r="AJ42" s="96"/>
      <c r="AK42" s="97"/>
      <c r="AL42" s="95">
        <v>0.65</v>
      </c>
      <c r="AM42" s="96"/>
      <c r="AN42" s="97"/>
      <c r="AO42" s="95">
        <v>0.85</v>
      </c>
      <c r="AP42" s="96"/>
      <c r="AQ42" s="97"/>
      <c r="AR42" s="95">
        <v>1</v>
      </c>
      <c r="AS42" s="96"/>
      <c r="AT42" s="97"/>
      <c r="AU42" s="95">
        <v>1</v>
      </c>
      <c r="AV42" s="96"/>
      <c r="AW42" s="97"/>
      <c r="AX42" s="95">
        <v>1</v>
      </c>
      <c r="AY42" s="96"/>
      <c r="AZ42" s="97"/>
    </row>
    <row r="43" spans="1:52" ht="12.75">
      <c r="A43" s="63"/>
      <c r="E43" s="2"/>
      <c r="F43" s="71"/>
      <c r="G43" s="71"/>
      <c r="H43" s="64"/>
      <c r="I43" s="61"/>
      <c r="J43" s="61"/>
      <c r="K43" s="61"/>
      <c r="L43" s="63"/>
      <c r="M43" s="52"/>
      <c r="N43" s="52"/>
      <c r="O43" s="65"/>
      <c r="P43" s="87" t="s">
        <v>69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95">
        <v>1</v>
      </c>
      <c r="AD43" s="96"/>
      <c r="AE43" s="97"/>
      <c r="AF43" s="95">
        <v>1</v>
      </c>
      <c r="AG43" s="96"/>
      <c r="AH43" s="97"/>
      <c r="AI43" s="95">
        <v>1</v>
      </c>
      <c r="AJ43" s="96"/>
      <c r="AK43" s="97"/>
      <c r="AL43" s="95">
        <v>1</v>
      </c>
      <c r="AM43" s="96"/>
      <c r="AN43" s="97"/>
      <c r="AO43" s="95">
        <v>1</v>
      </c>
      <c r="AP43" s="96"/>
      <c r="AQ43" s="97"/>
      <c r="AR43" s="95">
        <v>1</v>
      </c>
      <c r="AS43" s="96"/>
      <c r="AT43" s="97"/>
      <c r="AU43" s="95">
        <v>1</v>
      </c>
      <c r="AV43" s="96"/>
      <c r="AW43" s="97"/>
      <c r="AX43" s="95">
        <v>1</v>
      </c>
      <c r="AY43" s="96"/>
      <c r="AZ43" s="97"/>
    </row>
    <row r="44" spans="1:52" ht="12.75">
      <c r="A44" s="63"/>
      <c r="E44" s="2"/>
      <c r="F44" s="71"/>
      <c r="G44" s="71"/>
      <c r="H44" s="64"/>
      <c r="I44" s="61"/>
      <c r="J44" s="61"/>
      <c r="K44" s="61"/>
      <c r="L44" s="63"/>
      <c r="M44" s="52"/>
      <c r="N44" s="52"/>
      <c r="O44" s="65"/>
      <c r="P44" s="87" t="s">
        <v>141</v>
      </c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9"/>
      <c r="AC44" s="86">
        <v>0.2</v>
      </c>
      <c r="AD44" s="86"/>
      <c r="AE44" s="86"/>
      <c r="AF44" s="86">
        <v>0.3</v>
      </c>
      <c r="AG44" s="86"/>
      <c r="AH44" s="86"/>
      <c r="AI44" s="86">
        <v>0.5</v>
      </c>
      <c r="AJ44" s="86"/>
      <c r="AK44" s="86"/>
      <c r="AL44" s="86">
        <v>0.75</v>
      </c>
      <c r="AM44" s="86"/>
      <c r="AN44" s="86"/>
      <c r="AO44" s="86">
        <v>1</v>
      </c>
      <c r="AP44" s="86"/>
      <c r="AQ44" s="86"/>
      <c r="AR44" s="86">
        <v>1</v>
      </c>
      <c r="AS44" s="86"/>
      <c r="AT44" s="86"/>
      <c r="AU44" s="86">
        <v>1</v>
      </c>
      <c r="AV44" s="86"/>
      <c r="AW44" s="86"/>
      <c r="AX44" s="86">
        <v>1</v>
      </c>
      <c r="AY44" s="86"/>
      <c r="AZ44" s="86"/>
    </row>
    <row r="45" spans="1:52" ht="12.75">
      <c r="A45" s="1"/>
      <c r="E45" s="2"/>
      <c r="F45" s="71"/>
      <c r="G45" s="71"/>
      <c r="H45" s="34"/>
      <c r="I45" s="61"/>
      <c r="J45" s="61"/>
      <c r="K45" s="61"/>
      <c r="L45" s="1"/>
      <c r="M45" s="52"/>
      <c r="N45" s="52"/>
      <c r="O45" s="5"/>
      <c r="P45" s="87" t="s">
        <v>70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6">
        <v>0</v>
      </c>
      <c r="AD45" s="86"/>
      <c r="AE45" s="86"/>
      <c r="AF45" s="86">
        <v>0</v>
      </c>
      <c r="AG45" s="86"/>
      <c r="AH45" s="86"/>
      <c r="AI45" s="86">
        <v>0</v>
      </c>
      <c r="AJ45" s="86"/>
      <c r="AK45" s="86"/>
      <c r="AL45" s="86">
        <v>0</v>
      </c>
      <c r="AM45" s="86"/>
      <c r="AN45" s="86"/>
      <c r="AO45" s="86">
        <v>0</v>
      </c>
      <c r="AP45" s="86"/>
      <c r="AQ45" s="86"/>
      <c r="AR45" s="86">
        <v>0</v>
      </c>
      <c r="AS45" s="86"/>
      <c r="AT45" s="86"/>
      <c r="AU45" s="86">
        <v>0</v>
      </c>
      <c r="AV45" s="86"/>
      <c r="AW45" s="86"/>
      <c r="AX45" s="86">
        <v>0</v>
      </c>
      <c r="AY45" s="86"/>
      <c r="AZ45" s="86"/>
    </row>
    <row r="46" spans="1:52" ht="12.75">
      <c r="A46" s="1"/>
      <c r="E46" s="66"/>
      <c r="H46" s="34"/>
      <c r="L46" s="1"/>
      <c r="M46" s="52"/>
      <c r="N46" s="52"/>
      <c r="O46" s="5"/>
      <c r="P46" s="87" t="s">
        <v>71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86">
        <v>0</v>
      </c>
      <c r="AD46" s="86"/>
      <c r="AE46" s="86"/>
      <c r="AF46" s="86">
        <v>0</v>
      </c>
      <c r="AG46" s="86"/>
      <c r="AH46" s="86"/>
      <c r="AI46" s="86">
        <v>0</v>
      </c>
      <c r="AJ46" s="86"/>
      <c r="AK46" s="86"/>
      <c r="AL46" s="86">
        <v>0</v>
      </c>
      <c r="AM46" s="86"/>
      <c r="AN46" s="86"/>
      <c r="AO46" s="86">
        <v>0</v>
      </c>
      <c r="AP46" s="86"/>
      <c r="AQ46" s="86"/>
      <c r="AR46" s="86">
        <v>0</v>
      </c>
      <c r="AS46" s="86"/>
      <c r="AT46" s="86"/>
      <c r="AU46" s="86">
        <v>0</v>
      </c>
      <c r="AV46" s="86"/>
      <c r="AW46" s="86"/>
      <c r="AX46" s="86">
        <v>0</v>
      </c>
      <c r="AY46" s="86"/>
      <c r="AZ46" s="86"/>
    </row>
    <row r="47" spans="7:52" ht="12.75">
      <c r="G47" s="52"/>
      <c r="I47" s="52"/>
      <c r="J47" s="52"/>
      <c r="K47" s="52"/>
      <c r="M47" s="52"/>
      <c r="N47" s="52"/>
      <c r="P47" s="87" t="s">
        <v>72</v>
      </c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6">
        <v>0</v>
      </c>
      <c r="AD47" s="86"/>
      <c r="AE47" s="86"/>
      <c r="AF47" s="86">
        <v>0</v>
      </c>
      <c r="AG47" s="86"/>
      <c r="AH47" s="86"/>
      <c r="AI47" s="86">
        <v>0</v>
      </c>
      <c r="AJ47" s="86"/>
      <c r="AK47" s="86"/>
      <c r="AL47" s="86">
        <v>0</v>
      </c>
      <c r="AM47" s="86"/>
      <c r="AN47" s="86"/>
      <c r="AO47" s="86">
        <v>0</v>
      </c>
      <c r="AP47" s="86"/>
      <c r="AQ47" s="86"/>
      <c r="AR47" s="86">
        <v>0</v>
      </c>
      <c r="AS47" s="86"/>
      <c r="AT47" s="86"/>
      <c r="AU47" s="86">
        <v>0</v>
      </c>
      <c r="AV47" s="86"/>
      <c r="AW47" s="86"/>
      <c r="AX47" s="86">
        <v>0</v>
      </c>
      <c r="AY47" s="86"/>
      <c r="AZ47" s="86"/>
    </row>
    <row r="48" spans="7:14" ht="12.75">
      <c r="G48" s="52"/>
      <c r="I48" s="52"/>
      <c r="J48" s="52"/>
      <c r="K48" s="52"/>
      <c r="M48" s="52"/>
      <c r="N48" s="52"/>
    </row>
    <row r="49" spans="7:14" ht="12.75">
      <c r="G49" s="52"/>
      <c r="I49" s="52"/>
      <c r="J49" s="52"/>
      <c r="K49" s="52"/>
      <c r="M49" s="52"/>
      <c r="N49" s="52"/>
    </row>
    <row r="50" spans="7:14" ht="12.75">
      <c r="G50" s="52"/>
      <c r="I50" s="52"/>
      <c r="J50" s="52"/>
      <c r="K50" s="52"/>
      <c r="M50" s="52"/>
      <c r="N50" s="52"/>
    </row>
    <row r="51" spans="7:14" ht="12.75">
      <c r="G51" s="52"/>
      <c r="I51" s="52"/>
      <c r="J51" s="52"/>
      <c r="K51" s="52"/>
      <c r="M51" s="52"/>
      <c r="N51" s="52"/>
    </row>
    <row r="52" spans="7:14" ht="12.75">
      <c r="G52" s="52"/>
      <c r="I52" s="52"/>
      <c r="J52" s="52"/>
      <c r="K52" s="52"/>
      <c r="M52" s="52"/>
      <c r="N52" s="52"/>
    </row>
    <row r="53" spans="7:14" ht="12.75">
      <c r="G53" s="52"/>
      <c r="I53" s="52"/>
      <c r="J53" s="52"/>
      <c r="K53" s="52"/>
      <c r="M53" s="52"/>
      <c r="N53" s="52"/>
    </row>
    <row r="54" spans="7:14" ht="12.75">
      <c r="G54" s="52"/>
      <c r="I54" s="52"/>
      <c r="J54" s="52"/>
      <c r="K54" s="52"/>
      <c r="M54" s="52"/>
      <c r="N54" s="52"/>
    </row>
    <row r="55" spans="7:14" ht="12.75">
      <c r="G55" s="52"/>
      <c r="I55" s="52"/>
      <c r="J55" s="52"/>
      <c r="K55" s="52"/>
      <c r="M55" s="52"/>
      <c r="N55" s="52"/>
    </row>
    <row r="56" spans="7:14" ht="12.75">
      <c r="G56" s="52"/>
      <c r="I56" s="52"/>
      <c r="J56" s="52"/>
      <c r="K56" s="52"/>
      <c r="M56" s="52"/>
      <c r="N56" s="52"/>
    </row>
    <row r="57" spans="7:14" ht="12.75">
      <c r="G57" s="52"/>
      <c r="I57" s="52"/>
      <c r="J57" s="52"/>
      <c r="K57" s="52"/>
      <c r="M57" s="52"/>
      <c r="N57" s="52"/>
    </row>
    <row r="58" spans="7:14" ht="12.75">
      <c r="G58" s="52"/>
      <c r="I58" s="52"/>
      <c r="J58" s="52"/>
      <c r="K58" s="52"/>
      <c r="M58" s="52"/>
      <c r="N58" s="52"/>
    </row>
    <row r="59" spans="7:14" ht="12.75">
      <c r="G59" s="52"/>
      <c r="I59" s="52"/>
      <c r="J59" s="52"/>
      <c r="K59" s="52"/>
      <c r="M59" s="52"/>
      <c r="N59" s="52"/>
    </row>
    <row r="60" spans="13:14" ht="12.75">
      <c r="M60" s="52"/>
      <c r="N60" s="52"/>
    </row>
    <row r="61" spans="13:14" ht="12.75">
      <c r="M61" s="52"/>
      <c r="N61" s="52"/>
    </row>
    <row r="62" spans="13:14" ht="12.75">
      <c r="M62" s="52"/>
      <c r="N62" s="52"/>
    </row>
    <row r="63" spans="13:14" ht="12.75">
      <c r="M63" s="52"/>
      <c r="N63" s="52"/>
    </row>
    <row r="64" spans="13:14" ht="12.75">
      <c r="M64" s="52"/>
      <c r="N64" s="52"/>
    </row>
  </sheetData>
  <sheetProtection sheet="1" selectLockedCells="1"/>
  <mergeCells count="268">
    <mergeCell ref="AU22:AW24"/>
    <mergeCell ref="AG21:AZ21"/>
    <mergeCell ref="AP22:AQ32"/>
    <mergeCell ref="AU26:AW26"/>
    <mergeCell ref="AU27:AW27"/>
    <mergeCell ref="AU28:AW28"/>
    <mergeCell ref="AU29:AW29"/>
    <mergeCell ref="AU30:AW30"/>
    <mergeCell ref="AU31:AW31"/>
    <mergeCell ref="AM25:AO25"/>
    <mergeCell ref="AM26:AO26"/>
    <mergeCell ref="AM27:AO27"/>
    <mergeCell ref="AM28:AO28"/>
    <mergeCell ref="AM29:AO29"/>
    <mergeCell ref="AM30:AO30"/>
    <mergeCell ref="P21:P24"/>
    <mergeCell ref="AC21:AE23"/>
    <mergeCell ref="Z24:AB24"/>
    <mergeCell ref="AC24:AE24"/>
    <mergeCell ref="Q25:S25"/>
    <mergeCell ref="AG22:AI24"/>
    <mergeCell ref="AJ22:AL24"/>
    <mergeCell ref="AM22:AO24"/>
    <mergeCell ref="AR25:AT25"/>
    <mergeCell ref="Q21:S24"/>
    <mergeCell ref="T21:V24"/>
    <mergeCell ref="W21:Y24"/>
    <mergeCell ref="Z21:AB23"/>
    <mergeCell ref="T25:V25"/>
    <mergeCell ref="W25:Y25"/>
    <mergeCell ref="AX25:AZ25"/>
    <mergeCell ref="AR26:AT26"/>
    <mergeCell ref="P17:AB17"/>
    <mergeCell ref="P2:AE2"/>
    <mergeCell ref="P3:AB3"/>
    <mergeCell ref="AC3:AE3"/>
    <mergeCell ref="P4:AB4"/>
    <mergeCell ref="AC4:AE4"/>
    <mergeCell ref="P5:AB5"/>
    <mergeCell ref="AC5:AE5"/>
    <mergeCell ref="P6:AB6"/>
    <mergeCell ref="AC6:AE6"/>
    <mergeCell ref="AC9:AE9"/>
    <mergeCell ref="AC10:AE10"/>
    <mergeCell ref="AC11:AE11"/>
    <mergeCell ref="AC12:AE12"/>
    <mergeCell ref="P8:AE8"/>
    <mergeCell ref="P9:AB9"/>
    <mergeCell ref="P10:AB10"/>
    <mergeCell ref="P11:AB11"/>
    <mergeCell ref="P19:AE19"/>
    <mergeCell ref="P20:AE20"/>
    <mergeCell ref="AC13:AE13"/>
    <mergeCell ref="AC14:AE14"/>
    <mergeCell ref="AC15:AE15"/>
    <mergeCell ref="AC16:AE16"/>
    <mergeCell ref="AC17:AE17"/>
    <mergeCell ref="P12:AB12"/>
    <mergeCell ref="P13:AB13"/>
    <mergeCell ref="P16:AB16"/>
    <mergeCell ref="P35:AB35"/>
    <mergeCell ref="AG25:AI25"/>
    <mergeCell ref="AG27:AI27"/>
    <mergeCell ref="AG28:AI28"/>
    <mergeCell ref="AG29:AI29"/>
    <mergeCell ref="AG30:AI30"/>
    <mergeCell ref="P33:Y33"/>
    <mergeCell ref="P34:AB34"/>
    <mergeCell ref="Z26:AB26"/>
    <mergeCell ref="AC26:AE26"/>
    <mergeCell ref="Z25:AB25"/>
    <mergeCell ref="AC25:AE25"/>
    <mergeCell ref="P37:AZ37"/>
    <mergeCell ref="AG31:AI31"/>
    <mergeCell ref="AG32:AI32"/>
    <mergeCell ref="AR27:AT27"/>
    <mergeCell ref="AX27:AZ27"/>
    <mergeCell ref="AJ25:AL25"/>
    <mergeCell ref="AG26:AI26"/>
    <mergeCell ref="Q26:S26"/>
    <mergeCell ref="T26:V26"/>
    <mergeCell ref="W26:Y26"/>
    <mergeCell ref="AJ28:AL28"/>
    <mergeCell ref="Q27:S27"/>
    <mergeCell ref="T27:V27"/>
    <mergeCell ref="W27:Y27"/>
    <mergeCell ref="Z27:AB27"/>
    <mergeCell ref="AC27:AE27"/>
    <mergeCell ref="Z29:AB29"/>
    <mergeCell ref="AC29:AE29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AJ29:AL29"/>
    <mergeCell ref="AJ30:AL30"/>
    <mergeCell ref="Q29:S29"/>
    <mergeCell ref="T29:V29"/>
    <mergeCell ref="W29:Y29"/>
    <mergeCell ref="AR22:AT24"/>
    <mergeCell ref="AR28:AT28"/>
    <mergeCell ref="AR29:AT29"/>
    <mergeCell ref="AR30:AT30"/>
    <mergeCell ref="AU25:AW25"/>
    <mergeCell ref="Q31:S31"/>
    <mergeCell ref="T31:V31"/>
    <mergeCell ref="W31:Y31"/>
    <mergeCell ref="Z31:AB31"/>
    <mergeCell ref="AC31:AE31"/>
    <mergeCell ref="AX22:AZ24"/>
    <mergeCell ref="AX26:AZ26"/>
    <mergeCell ref="AX28:AZ28"/>
    <mergeCell ref="AX29:AZ29"/>
    <mergeCell ref="AX30:AZ30"/>
    <mergeCell ref="Q32:S32"/>
    <mergeCell ref="T32:V32"/>
    <mergeCell ref="W32:Y32"/>
    <mergeCell ref="Z32:AB32"/>
    <mergeCell ref="AC32:AE32"/>
    <mergeCell ref="AR31:AT31"/>
    <mergeCell ref="AX32:AZ32"/>
    <mergeCell ref="AR32:AT32"/>
    <mergeCell ref="Z33:AB33"/>
    <mergeCell ref="AC33:AE33"/>
    <mergeCell ref="AC34:AE34"/>
    <mergeCell ref="AJ32:AL32"/>
    <mergeCell ref="AM31:AO31"/>
    <mergeCell ref="AM32:AO32"/>
    <mergeCell ref="AJ31:AL31"/>
    <mergeCell ref="AC35:AE35"/>
    <mergeCell ref="AX31:AZ31"/>
    <mergeCell ref="AU32:AW32"/>
    <mergeCell ref="P38:AB38"/>
    <mergeCell ref="AC38:AE38"/>
    <mergeCell ref="AF38:AH38"/>
    <mergeCell ref="AI38:AK38"/>
    <mergeCell ref="AL38:AN38"/>
    <mergeCell ref="AO38:AQ38"/>
    <mergeCell ref="AR38:AT38"/>
    <mergeCell ref="P39:AB39"/>
    <mergeCell ref="AC39:AE39"/>
    <mergeCell ref="AF39:AH39"/>
    <mergeCell ref="AI39:AK39"/>
    <mergeCell ref="AL39:AN39"/>
    <mergeCell ref="AO39:AQ39"/>
    <mergeCell ref="AO40:AQ40"/>
    <mergeCell ref="AR40:AT40"/>
    <mergeCell ref="AU40:AW40"/>
    <mergeCell ref="AX40:AZ40"/>
    <mergeCell ref="AU38:AW38"/>
    <mergeCell ref="AX38:AZ38"/>
    <mergeCell ref="AR39:AT39"/>
    <mergeCell ref="AU39:AW39"/>
    <mergeCell ref="AF41:AH41"/>
    <mergeCell ref="AI41:AK41"/>
    <mergeCell ref="AL41:AN41"/>
    <mergeCell ref="AO41:AQ41"/>
    <mergeCell ref="AX39:AZ39"/>
    <mergeCell ref="P40:AB40"/>
    <mergeCell ref="AC40:AE40"/>
    <mergeCell ref="AF40:AH40"/>
    <mergeCell ref="AI40:AK40"/>
    <mergeCell ref="AL40:AN40"/>
    <mergeCell ref="AR41:AT41"/>
    <mergeCell ref="AU41:AW41"/>
    <mergeCell ref="AX41:AZ41"/>
    <mergeCell ref="P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P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P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P45:AB45"/>
    <mergeCell ref="AC45:AE45"/>
    <mergeCell ref="AF45:AH45"/>
    <mergeCell ref="AI45:AK45"/>
    <mergeCell ref="AL45:AN45"/>
    <mergeCell ref="AO45:AQ45"/>
    <mergeCell ref="AR45:AT45"/>
    <mergeCell ref="AU45:AW45"/>
    <mergeCell ref="AX45:AZ45"/>
    <mergeCell ref="P46:AB46"/>
    <mergeCell ref="AC46:AE46"/>
    <mergeCell ref="AF46:AH46"/>
    <mergeCell ref="AI46:AK46"/>
    <mergeCell ref="AL46:AN46"/>
    <mergeCell ref="AO46:AQ46"/>
    <mergeCell ref="AR46:AT46"/>
    <mergeCell ref="AF47:AH47"/>
    <mergeCell ref="AI47:AK47"/>
    <mergeCell ref="AL47:AN47"/>
    <mergeCell ref="AO47:AQ47"/>
    <mergeCell ref="AR47:AT47"/>
    <mergeCell ref="AU47:AW47"/>
    <mergeCell ref="AJ26:AL26"/>
    <mergeCell ref="AJ27:AL27"/>
    <mergeCell ref="B14:C14"/>
    <mergeCell ref="P14:AB14"/>
    <mergeCell ref="P15:AB15"/>
    <mergeCell ref="B41:C41"/>
    <mergeCell ref="B32:C32"/>
    <mergeCell ref="B33:C33"/>
    <mergeCell ref="P41:AB41"/>
    <mergeCell ref="AC41:AE41"/>
    <mergeCell ref="B28:D28"/>
    <mergeCell ref="B29:C29"/>
    <mergeCell ref="B30:C30"/>
    <mergeCell ref="B31:C31"/>
    <mergeCell ref="AX47:AZ47"/>
    <mergeCell ref="B42:C42"/>
    <mergeCell ref="AU46:AW46"/>
    <mergeCell ref="AX46:AZ46"/>
    <mergeCell ref="P47:AB47"/>
    <mergeCell ref="AC47:AE47"/>
    <mergeCell ref="B24:C24"/>
    <mergeCell ref="B25:C25"/>
    <mergeCell ref="B26:C26"/>
    <mergeCell ref="B40:C40"/>
    <mergeCell ref="B6:D6"/>
    <mergeCell ref="B7:D7"/>
    <mergeCell ref="B35:D35"/>
    <mergeCell ref="B36:C36"/>
    <mergeCell ref="B37:C37"/>
    <mergeCell ref="B39:D39"/>
    <mergeCell ref="B2:D3"/>
    <mergeCell ref="B4:D4"/>
    <mergeCell ref="B16:D16"/>
    <mergeCell ref="B17:C17"/>
    <mergeCell ref="B18:C18"/>
    <mergeCell ref="B19:C19"/>
    <mergeCell ref="B13:C13"/>
    <mergeCell ref="F40:G40"/>
    <mergeCell ref="F41:G45"/>
    <mergeCell ref="B9:D9"/>
    <mergeCell ref="B10:C10"/>
    <mergeCell ref="B11:C11"/>
    <mergeCell ref="B12:C12"/>
    <mergeCell ref="B20:C20"/>
    <mergeCell ref="B21:C21"/>
    <mergeCell ref="B22:C22"/>
    <mergeCell ref="B23:C23"/>
  </mergeCells>
  <conditionalFormatting sqref="I25:I27 J28:J29 K25:K29 G25:G27">
    <cfRule type="cellIs" priority="64" dxfId="4" operator="notBetween" stopIfTrue="1">
      <formula>5</formula>
      <formula>60</formula>
    </cfRule>
  </conditionalFormatting>
  <conditionalFormatting sqref="I7:K7 I9:K9 G9 G7">
    <cfRule type="cellIs" priority="55" dxfId="20" operator="notBetween" stopIfTrue="1">
      <formula>1</formula>
      <formula>10</formula>
    </cfRule>
  </conditionalFormatting>
  <conditionalFormatting sqref="I8:K8 I10:K10 G10 G8">
    <cfRule type="cellIs" priority="54" dxfId="21" operator="notBetween" stopIfTrue="1">
      <formula>1</formula>
      <formula>10</formula>
    </cfRule>
  </conditionalFormatting>
  <conditionalFormatting sqref="I11:K11 G11">
    <cfRule type="cellIs" priority="53" dxfId="22" operator="notBetween" stopIfTrue="1">
      <formula>1</formula>
      <formula>7</formula>
    </cfRule>
  </conditionalFormatting>
  <conditionalFormatting sqref="I12:K12 G12">
    <cfRule type="cellIs" priority="52" dxfId="21" operator="notBetween" stopIfTrue="1">
      <formula>1</formula>
      <formula>7</formula>
    </cfRule>
  </conditionalFormatting>
  <conditionalFormatting sqref="J30:K30">
    <cfRule type="cellIs" priority="51" dxfId="21" operator="notBetween" stopIfTrue="1">
      <formula>5</formula>
      <formula>60</formula>
    </cfRule>
  </conditionalFormatting>
  <conditionalFormatting sqref="AC35:AE35">
    <cfRule type="expression" priority="583" dxfId="8" stopIfTrue="1">
      <formula>($AC$35&lt;$AC$9)+($AC$35&gt;$AC$10)</formula>
    </cfRule>
  </conditionalFormatting>
  <conditionalFormatting sqref="P25:AE32">
    <cfRule type="expression" priority="823" dxfId="23" stopIfTrue="1">
      <formula>$P25&gt;$AC$3</formula>
    </cfRule>
  </conditionalFormatting>
  <conditionalFormatting sqref="AG25:AL32">
    <cfRule type="expression" priority="33" dxfId="23" stopIfTrue="1">
      <formula>$P25&gt;$AC$3</formula>
    </cfRule>
  </conditionalFormatting>
  <conditionalFormatting sqref="AR25:AZ32">
    <cfRule type="expression" priority="34" dxfId="23" stopIfTrue="1">
      <formula>$P25&gt;$AC$3</formula>
    </cfRule>
  </conditionalFormatting>
  <conditionalFormatting sqref="AM25:AO32">
    <cfRule type="expression" priority="32" dxfId="23" stopIfTrue="1">
      <formula>$P25&gt;$AC$3</formula>
    </cfRule>
    <cfRule type="expression" priority="35" dxfId="8" stopIfTrue="1">
      <formula>($AM25&lt;$AG25)+($AM25&gt;$AJ25)</formula>
    </cfRule>
  </conditionalFormatting>
  <conditionalFormatting sqref="I28 J25 I21:K21 K33 G28 G21">
    <cfRule type="cellIs" priority="971" dxfId="4" operator="notBetween" stopIfTrue="1">
      <formula>$D$17</formula>
      <formula>$D$18</formula>
    </cfRule>
  </conditionalFormatting>
  <conditionalFormatting sqref="I30 J27 I22:K22 I38:K38 K34 G30 G22 G38">
    <cfRule type="cellIs" priority="977" dxfId="4" operator="notBetween" stopIfTrue="1">
      <formula>$D$19</formula>
      <formula>$D$20</formula>
    </cfRule>
  </conditionalFormatting>
  <conditionalFormatting sqref="I17:K17 G17">
    <cfRule type="cellIs" priority="985" dxfId="4" operator="notBetween" stopIfTrue="1">
      <formula>$D$22</formula>
      <formula>$D$23</formula>
    </cfRule>
  </conditionalFormatting>
  <conditionalFormatting sqref="I18:K18 G18">
    <cfRule type="cellIs" priority="987" dxfId="4" operator="notBetween" stopIfTrue="1">
      <formula>$D$25</formula>
      <formula>$D$26</formula>
    </cfRule>
  </conditionalFormatting>
  <conditionalFormatting sqref="I3:K3 G3">
    <cfRule type="cellIs" priority="989" dxfId="24" operator="notBetween" stopIfTrue="1">
      <formula>$D$17</formula>
      <formula>$D$18</formula>
    </cfRule>
  </conditionalFormatting>
  <conditionalFormatting sqref="I4:K4 G4">
    <cfRule type="cellIs" priority="991" dxfId="25" operator="notBetween" stopIfTrue="1">
      <formula>$D$19</formula>
      <formula>$D$20</formula>
    </cfRule>
  </conditionalFormatting>
  <conditionalFormatting sqref="I5:K5 G5">
    <cfRule type="cellIs" priority="993" dxfId="24" operator="notBetween" stopIfTrue="1">
      <formula>$D$22</formula>
      <formula>$D$23</formula>
    </cfRule>
  </conditionalFormatting>
  <conditionalFormatting sqref="I6:K6 G6">
    <cfRule type="cellIs" priority="995" dxfId="25" operator="notBetween" stopIfTrue="1">
      <formula>$D$25</formula>
      <formula>$D$26</formula>
    </cfRule>
  </conditionalFormatting>
  <dataValidations count="27">
    <dataValidation type="list" allowBlank="1" showInputMessage="1" showErrorMessage="1" sqref="P20">
      <formula1>$P$38:$P$47</formula1>
    </dataValidation>
    <dataValidation type="list" allowBlank="1" showInputMessage="1" showErrorMessage="1" sqref="AC3">
      <formula1>"1,2,3,4,5,6,7,8"</formula1>
    </dataValidation>
    <dataValidation type="list" showErrorMessage="1" errorTitle="Invalid Entry" error="Enter HP for mechanical horsepower, KW for kilowatts, or PS for metric horsepower." sqref="D40">
      <formula1>"HP,KW,PS,"</formula1>
      <formula2>0</formula2>
    </dataValidation>
    <dataValidation type="list" operator="equal" showErrorMessage="1" errorTitle="Invalid Entry" error="Enter &quot;Y&quot; for yes or &quot;N&quot; for no." sqref="D42">
      <formula1>"N,Y"</formula1>
    </dataValidation>
    <dataValidation type="list" showErrorMessage="1" errorTitle="Invalid Entry" error="Enter KGFM for kilogram-meters, LB-FT for pound-feet, or NM for Newton-meters." sqref="D41">
      <formula1>"KGFM,LB-FT,NM"</formula1>
      <formula2>0</formula2>
    </dataValidation>
    <dataValidation type="whole" showErrorMessage="1" errorTitle="Invalid Entry" error="Please enter a valid downforce value." sqref="D36:D37">
      <formula1>0</formula1>
      <formula2>10000</formula2>
    </dataValidation>
    <dataValidation type="decimal" showErrorMessage="1" errorTitle="Invalid Entry" error="Value must be between -3 and 3." sqref="D30:D31">
      <formula1>-3</formula1>
      <formula2>3</formula2>
    </dataValidation>
    <dataValidation type="whole" showErrorMessage="1" errorTitle="Invalid Entry" error="Please enter a valid ride height." sqref="D17:D20">
      <formula1>0</formula1>
      <formula2>1000</formula2>
    </dataValidation>
    <dataValidation type="decimal" showErrorMessage="1" errorTitle="Invalid Entry" error="Please enter a valid spring rate." sqref="D21:D26">
      <formula1>0</formula1>
      <formula2>100</formula2>
    </dataValidation>
    <dataValidation type="decimal" showErrorMessage="1" errorTitle="Invalid Entry" error="Please enter a valid torque rating." sqref="D11">
      <formula1>0</formula1>
      <formula2>10000</formula2>
    </dataValidation>
    <dataValidation type="decimal" showErrorMessage="1" errorTitle="Invalid Entry" error="Please enter a valid horsepower rating." sqref="D10">
      <formula1>0</formula1>
      <formula2>10000</formula2>
    </dataValidation>
    <dataValidation type="whole" showErrorMessage="1" errorTitle="Invalid Entry" error="Please enter a valid weight." sqref="D12">
      <formula1>0</formula1>
      <formula2>10000</formula2>
    </dataValidation>
    <dataValidation type="decimal" showErrorMessage="1" errorTitle="Invalid Entry" error="Please enter a valid front weight distribution." sqref="D13">
      <formula1>0</formula1>
      <formula2>1</formula2>
    </dataValidation>
    <dataValidation type="decimal" showErrorMessage="1" errorTitle="Invalid Entry" error="Value must be between 0 and 20." sqref="L4:L5 E35 L13:L14 E11:E16">
      <formula1>0</formula1>
      <formula2>20</formula2>
    </dataValidation>
    <dataValidation errorTitle="Invalid Entry" sqref="F41">
      <formula1>0</formula1>
      <formula2>5</formula2>
    </dataValidation>
    <dataValidation operator="greaterThanOrEqual" showErrorMessage="1" errorTitle="Invalid Entry" error="Value must be greater than or equal to 0." sqref="E7:E10">
      <formula1>0</formula1>
    </dataValidation>
    <dataValidation type="decimal" showErrorMessage="1" errorTitle="Invalid Entry" error="Value must be between 1 and 4." sqref="E22">
      <formula1>1</formula1>
      <formula2>4</formula2>
    </dataValidation>
    <dataValidation type="list" operator="equal" showErrorMessage="1" errorTitle="Invalid Entry" error="Enter &quot;Y&quot; for yes or &quot;N&quot; for no." sqref="E24">
      <formula1>"Y,N"</formula1>
    </dataValidation>
    <dataValidation type="decimal" allowBlank="1" showErrorMessage="1" errorTitle="Invalid Entry" error="Value must be between 40% and 65%." sqref="E4">
      <formula1>0.4</formula1>
      <formula2>0.65</formula2>
    </dataValidation>
    <dataValidation type="whole" showErrorMessage="1" errorTitle="Invalid Entry" error="Value must be an integer between -3  and 3." sqref="E23">
      <formula1>-3</formula1>
      <formula2>3</formula2>
    </dataValidation>
    <dataValidation type="decimal" operator="lessThan" allowBlank="1" showErrorMessage="1" errorTitle="Invalid Entry" error="Value must be less than 6.0." sqref="E21">
      <formula1>6</formula1>
    </dataValidation>
    <dataValidation type="whole" showErrorMessage="1" errorTitle="Invalid Entry" error="Value must be an integer between 1 and 4." sqref="E19">
      <formula1>1</formula1>
      <formula2>4</formula2>
    </dataValidation>
    <dataValidation type="decimal" showErrorMessage="1" errorTitle="Invalid Entry" error="Value must be between 0.0 and 5.0." sqref="D32">
      <formula1>0</formula1>
      <formula2>5</formula2>
    </dataValidation>
    <dataValidation type="decimal" showErrorMessage="1" errorTitle="Invalid Entry" error="Value must be between 0 and 5.  Settings between 1 and 4 are recommended for maximum compatibility." sqref="D29">
      <formula1>0</formula1>
      <formula2>5</formula2>
    </dataValidation>
    <dataValidation type="decimal" showErrorMessage="1" errorTitle="Invalid Entry" error="Value must be between 1 and 6.  Settings between 1 and 4 are recommended for maximum compatibility." sqref="D33">
      <formula1>1</formula1>
      <formula2>6</formula2>
    </dataValidation>
    <dataValidation type="list" showErrorMessage="1" errorTitle="Invalid Entry" error="Please enter a valid front weight distribution." sqref="D14">
      <formula1>"FF,4WD,FR,MR,RR"</formula1>
    </dataValidation>
    <dataValidation type="whole" allowBlank="1" showErrorMessage="1" errorTitle="Invalid Entry" error="Value must be an integer between -3 and 3." sqref="E20">
      <formula1>-3</formula1>
      <formula2>3</formula2>
    </dataValidation>
  </dataValidations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2014-07-28T16:50:53Z</dcterms:created>
  <dcterms:modified xsi:type="dcterms:W3CDTF">2015-09-18T17:25:25Z</dcterms:modified>
  <cp:category/>
  <cp:version/>
  <cp:contentType/>
  <cp:contentStatus/>
</cp:coreProperties>
</file>