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5445" activeTab="0"/>
  </bookViews>
  <sheets>
    <sheet name="QT MODIF STF1900" sheetId="1" r:id="rId1"/>
    <sheet name="Fiche Recapitualtive Voiture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B30" authorId="0">
      <text>
        <r>
          <rPr>
            <b/>
            <sz val="9"/>
            <rFont val="Segoe UI"/>
            <family val="2"/>
          </rPr>
          <t>-3 = MOINS DE SURVIRAGE
+3 = PLUS DE SURVIRAGE</t>
        </r>
      </text>
    </comment>
    <comment ref="B31" authorId="0">
      <text>
        <r>
          <rPr>
            <b/>
            <sz val="9"/>
            <rFont val="Segoe UI"/>
            <family val="2"/>
          </rPr>
          <t>-3 = MOINS DE SURVIRAGE
+3 = PLUS DE SURVIRAGE</t>
        </r>
      </text>
    </comment>
    <comment ref="B33" authorId="0">
      <text>
        <r>
          <rPr>
            <b/>
            <sz val="9"/>
            <rFont val="Segoe UI"/>
            <family val="2"/>
          </rPr>
          <t>DEFAUT = 2
TRACTION=1
COUPLE 0-249 = 1
COUPLE 250-499 =2
COUPLE 500-749 =3
COUPLE 750-1000 = 4
(NM)</t>
        </r>
      </text>
    </comment>
    <comment ref="B29" authorId="0">
      <text>
        <r>
          <rPr>
            <b/>
            <sz val="9"/>
            <rFont val="Tahoma"/>
            <family val="0"/>
          </rPr>
          <t>1 = PNEUS CONFORTS
2 = PNEUS SPORTS
3 = PNEUS COURSES
4 = RACES-CARS PNEUS COURSES</t>
        </r>
      </text>
    </comment>
  </commentList>
</comments>
</file>

<file path=xl/sharedStrings.xml><?xml version="1.0" encoding="utf-8"?>
<sst xmlns="http://schemas.openxmlformats.org/spreadsheetml/2006/main" count="276" uniqueCount="171">
  <si>
    <t>G T 6    Q U I C K    T U N E</t>
  </si>
  <si>
    <t>SUSPENSION</t>
  </si>
  <si>
    <t>VARIABLE PARAMETERS</t>
  </si>
  <si>
    <t>ENTRY/EXIT BALANCE AVERAGE</t>
  </si>
  <si>
    <t>RIDE HEIGHT % OF RANGE</t>
  </si>
  <si>
    <t>SPRING RATE % OF RANGE</t>
  </si>
  <si>
    <t>BASE SPRING RATE VALUE</t>
  </si>
  <si>
    <t>BASE DAMPER VALUE</t>
  </si>
  <si>
    <t>BASE ANTI-ROLL BAR VALUE</t>
  </si>
  <si>
    <t>POIDS (KG)</t>
  </si>
  <si>
    <t>WEIGHT/POWER RATIO</t>
  </si>
  <si>
    <t>DISTRIBUTION POIDS AVANT (%)</t>
  </si>
  <si>
    <t>HORSEPOWER/TORQUE RATIO</t>
  </si>
  <si>
    <t>WEIGHT/POWER SPREAD</t>
  </si>
  <si>
    <t>POWERBAND SPREAD</t>
  </si>
  <si>
    <t>GARDE AU SOL AVANT MINI</t>
  </si>
  <si>
    <t>TOTAL SPREAD</t>
  </si>
  <si>
    <t>GARDE AU SOL AVANT MAXI</t>
  </si>
  <si>
    <t>CORRECTED POWER (HP)</t>
  </si>
  <si>
    <t>GARDE AU SOL ARRIERE MINI</t>
  </si>
  <si>
    <t>CORRECTED TORQUE (LB-FT)</t>
  </si>
  <si>
    <t>GARDE AU SOL ARRIERE MAXI</t>
  </si>
  <si>
    <t>CORRECTED WEIGHT DISTRIBUTION</t>
  </si>
  <si>
    <t>TAUX AMORTISS. AVANT PAR DEFAUT</t>
  </si>
  <si>
    <t>TAUX AMORTISS. AVANT MINI</t>
  </si>
  <si>
    <t>FIXED PARAMETERS</t>
  </si>
  <si>
    <t>TAUX AMORTISS. AVANT MAXI</t>
  </si>
  <si>
    <t>WEIGHT/POWER BREAK EVEN</t>
  </si>
  <si>
    <t>TAUX AMORTISS. ARRIERE PAR DEFAUT</t>
  </si>
  <si>
    <t>WEIGHT/POWER MINIMUM</t>
  </si>
  <si>
    <t>TAUX AMORTISS. ARRIERE MINI</t>
  </si>
  <si>
    <t>WEIGHT/POWER MAXIMUM</t>
  </si>
  <si>
    <t>TAUX AMORTISS. ARRIERE MAXI</t>
  </si>
  <si>
    <t>HORSEPOWER/TORQUE BREAK EVEN</t>
  </si>
  <si>
    <t>HORSEPOWER/TORQUE MINIMUM</t>
  </si>
  <si>
    <t>HORSEPOWER/TORQUE MAXIMUM</t>
  </si>
  <si>
    <t>NIVEAU DE SUSPENSION (1-4)</t>
  </si>
  <si>
    <t>-</t>
  </si>
  <si>
    <t>DRIVETRAIN FACTOR (+/-)</t>
  </si>
  <si>
    <t>EQUILIBRE ENTREE VIRAGE (0±3)</t>
  </si>
  <si>
    <t>POWER/WEIGHT FACTOR (+/-)</t>
  </si>
  <si>
    <t>EQUILIBRE SORTIE VIRAGE (0±3)</t>
  </si>
  <si>
    <t>POWERBAND FACTOR(+/-)</t>
  </si>
  <si>
    <t>ANGLE CARROSSAGE DE BASE (DEGREES)</t>
  </si>
  <si>
    <t>MAXIMUM APPUI AVANT</t>
  </si>
  <si>
    <t>MAXIMUM APPUI ARRIERE</t>
  </si>
  <si>
    <t>UNITE DE PUISSANCE</t>
  </si>
  <si>
    <t>PS</t>
  </si>
  <si>
    <t>UNITE COUPLE</t>
  </si>
  <si>
    <t>NM</t>
  </si>
  <si>
    <t>N</t>
  </si>
  <si>
    <t>Boite 6 - 0-20-40-60-80-100</t>
  </si>
  <si>
    <t>Valeurs Graphique</t>
  </si>
  <si>
    <t>Axe x</t>
  </si>
  <si>
    <t>Axe y</t>
  </si>
  <si>
    <t>RpMR</t>
  </si>
  <si>
    <t>RpCouple</t>
  </si>
  <si>
    <t>Boite 6 - 0-25-55-85-100-100</t>
  </si>
  <si>
    <t>Boite 6 - 50-60-70-80-90-100</t>
  </si>
  <si>
    <t>Boite 5 - 0-25-50-75-100</t>
  </si>
  <si>
    <t>Boite 7/8 - 0-20-40-65-85-100-100-100</t>
  </si>
  <si>
    <t>Boite 100%</t>
  </si>
  <si>
    <t>Exemple 9</t>
  </si>
  <si>
    <t>Exemple 10</t>
  </si>
  <si>
    <t>REGIME ZONE ROUGE</t>
  </si>
  <si>
    <t>REGIME COUPLE MAXI</t>
  </si>
  <si>
    <t>TYPE DE TRANSMISSION</t>
  </si>
  <si>
    <t>POURCENTAGE DE VITESSE FINALE</t>
  </si>
  <si>
    <t>MAXI RAPPORT DE PONT (VITESSE FINALE)</t>
  </si>
  <si>
    <t>MINI RAPPORT DE PONT (VITESSE FINALE)</t>
  </si>
  <si>
    <t>RAPPORT DE PONT A ENTRER</t>
  </si>
  <si>
    <t>VITESSE MINI REGLAGE AUTOMATIQUE</t>
  </si>
  <si>
    <t>RAPPORT DE BOITE DERNIERE VITESSE</t>
  </si>
  <si>
    <t>REGIME MOTEUR MAXI (GRAPHIQUE GT6)</t>
  </si>
  <si>
    <t>DIAMETRE DE ROUE : JANTES + PNEU (POUCE)</t>
  </si>
  <si>
    <t>DEVELOPEMENT ROUE (M)</t>
  </si>
  <si>
    <t>NOMBRE DE RAPPORT DE BOITE</t>
  </si>
  <si>
    <t>VITESSE</t>
  </si>
  <si>
    <t>RAPPORT MINI BOITE</t>
  </si>
  <si>
    <t>RAPPORT MAXI BOITE</t>
  </si>
  <si>
    <t>RAPPORT BOITE</t>
  </si>
  <si>
    <t>VITESSE DE PASSAGE</t>
  </si>
  <si>
    <t>RETOMB. REGIME MOT.</t>
  </si>
  <si>
    <t>(KM/H)</t>
  </si>
  <si>
    <t>(TR/MIN)</t>
  </si>
  <si>
    <t>VITESSE DE POINTE POSSIBLE</t>
  </si>
  <si>
    <t>VITESSE DE POINTE SOUHAITEE</t>
  </si>
  <si>
    <t>VIT MIN</t>
  </si>
  <si>
    <t>VIT. MAX</t>
  </si>
  <si>
    <t>RAPPORT BOITE CORR.</t>
  </si>
  <si>
    <t>BOITE CORRIGEE</t>
  </si>
  <si>
    <t>* Si Rouge pas pris en compte</t>
  </si>
  <si>
    <t>VITESSE SOUHAITEE*</t>
  </si>
  <si>
    <t>FWD</t>
  </si>
  <si>
    <t>RWD</t>
  </si>
  <si>
    <t>AWD</t>
  </si>
  <si>
    <t>V4.3 - ©2014 OPPOSITELOCK (B.REED) modif STF1900</t>
  </si>
  <si>
    <t>GARDE AU SOL AVANT</t>
  </si>
  <si>
    <t>GARDE AU SOL ARRIERE</t>
  </si>
  <si>
    <t>TAUX AMORTISSEMENT AVANT</t>
  </si>
  <si>
    <t>TAUX AMORTISSEMENT ARRIERE</t>
  </si>
  <si>
    <t>AMORT. AVANT (COMPR.)</t>
  </si>
  <si>
    <t>AMORT. ARRIERE (COMPR.)</t>
  </si>
  <si>
    <t>AMORT. AVANT (EXTENS.)</t>
  </si>
  <si>
    <t>AMORT. ARRIERE (EXTENS.)</t>
  </si>
  <si>
    <t>BAR ANTI-ROULI AVANT</t>
  </si>
  <si>
    <t>BAR ANTI-ROULI ARRIERE</t>
  </si>
  <si>
    <t>ANGLE CARROSSAGE AVANT</t>
  </si>
  <si>
    <t>ANGLE CARROSSAGE ARRIERE</t>
  </si>
  <si>
    <t>ANGLE ALIGNEMENT AVANT</t>
  </si>
  <si>
    <t>ANGLE ALIGNEMENT ARRIERE</t>
  </si>
  <si>
    <t>AVANT</t>
  </si>
  <si>
    <t>ARRIERE</t>
  </si>
  <si>
    <t>COUPLE INITIAL AVANT</t>
  </si>
  <si>
    <t>SENSIB. ACCELERATION AV.</t>
  </si>
  <si>
    <t>SENSIB. DES FREINS AVANT</t>
  </si>
  <si>
    <t>COUPLE INITIAL ARRIERE</t>
  </si>
  <si>
    <t>SENSIB. ACCELERATION AR.</t>
  </si>
  <si>
    <t>SENSIB. DES FREINS ARRIERE</t>
  </si>
  <si>
    <t>GEOMETRIE DIRECTION</t>
  </si>
  <si>
    <t>EQUILIBRE DES FREINS (ABS ON)</t>
  </si>
  <si>
    <t>DIFFERENTIEL A GLISSEMENT</t>
  </si>
  <si>
    <t>DISTRIBUTION DU COUPLE</t>
  </si>
  <si>
    <t>APPUI</t>
  </si>
  <si>
    <t>INVERSER Av/Ar RESIST. ROULLEMENT(Y/N)</t>
  </si>
  <si>
    <t>Boite 5 forest</t>
  </si>
  <si>
    <t>FREQ. DECLENCHEMENT DGL (1-4)</t>
  </si>
  <si>
    <t>BLOC 5.  --&gt;  CARROSSERIE</t>
  </si>
  <si>
    <t>BLOC 6.  --&gt;  OPTIONS</t>
  </si>
  <si>
    <t>BLOC 3.  --&gt;  PARAMETRES SUSPENSION</t>
  </si>
  <si>
    <t>BLOC 2.  --&gt;  SPECIFICATIONS VOITURE</t>
  </si>
  <si>
    <t>BLOC 1.  --&gt;  MODELE VOITURE</t>
  </si>
  <si>
    <t>BLOC 4.  --&gt;  REGLAGES COMPORTEMENT</t>
  </si>
  <si>
    <t>BLOC 7.  --&gt;  NOTES</t>
  </si>
  <si>
    <t>BLOC 8.  --&gt;  PARAMETRES DE BOITE</t>
  </si>
  <si>
    <t>BLOC 9.  --&gt;  REGLAGE INITIAL DE LA BOITE</t>
  </si>
  <si>
    <t>BLOC 10.  --&gt;  CHOIX DE LA BOITE</t>
  </si>
  <si>
    <t>BLOC 11.  --&gt;  CORRECTIONS MANUELLE VITESSE DE PASSAGE</t>
  </si>
  <si>
    <t>BLOC 12.  --&gt;  MODELES DE BOITES</t>
  </si>
  <si>
    <t>% POUR
MODELE
BOITE</t>
  </si>
  <si>
    <t>Ferrari Dino 246 - 450PP</t>
  </si>
  <si>
    <t>MR</t>
  </si>
  <si>
    <t>Lest -50% 80Kg</t>
  </si>
  <si>
    <t>MODELE VOITURE</t>
  </si>
  <si>
    <t>FICHE RECAPITULATIVE VOITURE</t>
  </si>
  <si>
    <t>SPECIFICATIONS VOITURES</t>
  </si>
  <si>
    <t>NOTES</t>
  </si>
  <si>
    <t>OPTIONS</t>
  </si>
  <si>
    <t>PARAMETRES DE BOITE PERSO</t>
  </si>
  <si>
    <t>VALEUR PAR DEFAUT BOITE PERSO</t>
  </si>
  <si>
    <t>VITESSE REGLAGE AUTOMATIQUE</t>
  </si>
  <si>
    <t>ETAGEMENT BOITE</t>
  </si>
  <si>
    <t>RAPPORT FINAL</t>
  </si>
  <si>
    <t>VITESSES POSSIBLE</t>
  </si>
  <si>
    <t>Configuration par defaut!
Lest: 80Kg - POSITION -50%</t>
  </si>
  <si>
    <t>Boite Ferrari origine</t>
  </si>
  <si>
    <t>GEOMETRIE TRAINS ROULANTS</t>
  </si>
  <si>
    <t>APPUIS</t>
  </si>
  <si>
    <t>(PONT) RAPPORT FINAL</t>
  </si>
  <si>
    <t>.--&gt; MODELE VOITURE</t>
  </si>
  <si>
    <t>.--&gt; SPECIFICATIONS VOITURE</t>
  </si>
  <si>
    <t>.--&gt; NOTES</t>
  </si>
  <si>
    <t>.--&gt; SUSPENSION</t>
  </si>
  <si>
    <t>.--&gt; GEOMETRIE TRAINS ROULANTS</t>
  </si>
  <si>
    <t>.--&gt; EQUILIBRE DES FREINS (ABS ON)</t>
  </si>
  <si>
    <t>.--&gt; PRE-REGLAGE POUR BOITE DE VITESSE</t>
  </si>
  <si>
    <t>.--&gt; BOITE DE VITESSE MODIFIEE</t>
  </si>
  <si>
    <t>.--&gt; DIFFERENTIEL A GLISSEMENT</t>
  </si>
  <si>
    <t>.--&gt; APPUIS</t>
  </si>
  <si>
    <t>BLOC 13.  --&gt;  FICHE RECAPITULATIVE POUR FORUM</t>
  </si>
  <si>
    <t>.--&gt; DISTRIBUTION DU COUPLE (SEULEMENT  4x4)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</si>
</sst>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00"/>
    <numFmt numFmtId="168" formatCode="#"/>
    <numFmt numFmtId="169" formatCode="[$-407]dddd\,\ 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egoe UI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Tahoma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4" fillId="0" borderId="4" applyNumberFormat="0" applyAlignment="0" applyProtection="0"/>
    <xf numFmtId="0" fontId="4" fillId="0" borderId="4" applyNumberFormat="0" applyFill="0" applyAlignment="0" applyProtection="0"/>
    <xf numFmtId="0" fontId="4" fillId="0" borderId="4" applyNumberFormat="0" applyAlignment="0" applyProtection="0"/>
    <xf numFmtId="0" fontId="4" fillId="0" borderId="4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4" fillId="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Alignment="0" applyProtection="0"/>
    <xf numFmtId="0" fontId="4" fillId="0" borderId="6" applyNumberFormat="0" applyAlignment="0" applyProtection="0"/>
    <xf numFmtId="0" fontId="39" fillId="31" borderId="0" applyNumberFormat="0" applyBorder="0" applyAlignment="0" applyProtection="0"/>
    <xf numFmtId="0" fontId="40" fillId="26" borderId="7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2" borderId="12" applyNumberFormat="0" applyAlignment="0" applyProtection="0"/>
  </cellStyleXfs>
  <cellXfs count="275">
    <xf numFmtId="0" fontId="0" fillId="0" borderId="0" xfId="0" applyFont="1" applyAlignment="1">
      <alignment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Alignment="1" applyProtection="1">
      <alignment horizontal="center" vertical="center"/>
      <protection hidden="1"/>
    </xf>
    <xf numFmtId="0" fontId="7" fillId="0" borderId="0" xfId="56" applyNumberFormat="1" applyFont="1" applyFill="1" applyBorder="1" applyAlignment="1" applyProtection="1">
      <alignment horizontal="center" vertical="center"/>
      <protection hidden="1"/>
    </xf>
    <xf numFmtId="0" fontId="7" fillId="0" borderId="0" xfId="67" applyFont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>
      <alignment/>
    </xf>
    <xf numFmtId="0" fontId="7" fillId="33" borderId="13" xfId="67" applyFont="1" applyFill="1" applyBorder="1" applyAlignment="1" applyProtection="1">
      <alignment horizontal="center" vertical="center"/>
      <protection hidden="1"/>
    </xf>
    <xf numFmtId="0" fontId="7" fillId="33" borderId="4" xfId="56" applyFont="1" applyFill="1" applyBorder="1" applyAlignment="1" applyProtection="1">
      <alignment horizontal="center" vertical="center"/>
      <protection hidden="1"/>
    </xf>
    <xf numFmtId="1" fontId="7" fillId="0" borderId="0" xfId="67" applyNumberFormat="1" applyFont="1" applyFill="1" applyBorder="1" applyAlignment="1" applyProtection="1">
      <alignment horizontal="center" vertical="center"/>
      <protection/>
    </xf>
    <xf numFmtId="1" fontId="7" fillId="0" borderId="0" xfId="56" applyNumberFormat="1" applyFont="1" applyFill="1" applyBorder="1" applyAlignment="1" applyProtection="1">
      <alignment horizontal="center" vertical="center"/>
      <protection hidden="1"/>
    </xf>
    <xf numFmtId="0" fontId="7" fillId="34" borderId="4" xfId="67" applyFont="1" applyFill="1" applyBorder="1" applyAlignment="1" applyProtection="1">
      <alignment horizontal="center" vertical="center"/>
      <protection hidden="1"/>
    </xf>
    <xf numFmtId="0" fontId="7" fillId="0" borderId="4" xfId="56" applyNumberFormat="1" applyFont="1" applyFill="1" applyBorder="1" applyAlignment="1" applyProtection="1">
      <alignment horizontal="center" vertical="center"/>
      <protection hidden="1"/>
    </xf>
    <xf numFmtId="1" fontId="7" fillId="0" borderId="4" xfId="56" applyNumberFormat="1" applyFont="1" applyFill="1" applyBorder="1" applyAlignment="1" applyProtection="1">
      <alignment horizontal="center" vertical="center"/>
      <protection hidden="1"/>
    </xf>
    <xf numFmtId="2" fontId="7" fillId="0" borderId="0" xfId="56" applyNumberFormat="1" applyFont="1" applyFill="1" applyBorder="1" applyAlignment="1" applyProtection="1">
      <alignment horizontal="center" vertical="center"/>
      <protection hidden="1"/>
    </xf>
    <xf numFmtId="0" fontId="48" fillId="0" borderId="0" xfId="68" applyFont="1" applyBorder="1" applyAlignment="1">
      <alignment horizontal="left" vertical="center"/>
      <protection/>
    </xf>
    <xf numFmtId="0" fontId="48" fillId="0" borderId="0" xfId="68" applyFont="1" applyFill="1" applyBorder="1">
      <alignment/>
      <protection/>
    </xf>
    <xf numFmtId="9" fontId="7" fillId="0" borderId="0" xfId="56" applyNumberFormat="1" applyFont="1" applyFill="1" applyBorder="1" applyAlignment="1" applyProtection="1">
      <alignment horizontal="center" vertical="center"/>
      <protection hidden="1"/>
    </xf>
    <xf numFmtId="0" fontId="7" fillId="34" borderId="6" xfId="67" applyFont="1" applyFill="1" applyBorder="1" applyAlignment="1" applyProtection="1">
      <alignment horizontal="center" vertical="center"/>
      <protection hidden="1"/>
    </xf>
    <xf numFmtId="1" fontId="7" fillId="0" borderId="6" xfId="56" applyNumberFormat="1" applyFont="1" applyFill="1" applyBorder="1" applyAlignment="1" applyProtection="1">
      <alignment horizontal="center" vertical="center"/>
      <protection hidden="1"/>
    </xf>
    <xf numFmtId="164" fontId="7" fillId="0" borderId="0" xfId="67" applyNumberFormat="1" applyFont="1" applyFill="1" applyBorder="1" applyAlignment="1" applyProtection="1">
      <alignment horizontal="center" vertical="center"/>
      <protection/>
    </xf>
    <xf numFmtId="164" fontId="7" fillId="0" borderId="0" xfId="56" applyNumberFormat="1" applyFont="1" applyFill="1" applyBorder="1" applyAlignment="1" applyProtection="1">
      <alignment horizontal="center" vertical="center"/>
      <protection hidden="1"/>
    </xf>
    <xf numFmtId="165" fontId="7" fillId="0" borderId="0" xfId="56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Border="1" applyAlignment="1">
      <alignment/>
    </xf>
    <xf numFmtId="0" fontId="48" fillId="0" borderId="0" xfId="68" applyFont="1" applyFill="1" applyBorder="1" applyAlignment="1">
      <alignment horizontal="center"/>
      <protection/>
    </xf>
    <xf numFmtId="0" fontId="48" fillId="0" borderId="0" xfId="68" applyFont="1" applyAlignment="1">
      <alignment horizontal="left" vertical="center"/>
      <protection/>
    </xf>
    <xf numFmtId="2" fontId="7" fillId="0" borderId="4" xfId="56" applyNumberFormat="1" applyFont="1" applyFill="1" applyBorder="1" applyAlignment="1" applyProtection="1">
      <alignment horizontal="center" vertical="center"/>
      <protection hidden="1"/>
    </xf>
    <xf numFmtId="1" fontId="48" fillId="0" borderId="0" xfId="68" applyNumberFormat="1" applyFont="1" applyFill="1" applyBorder="1" applyAlignment="1">
      <alignment horizontal="center"/>
      <protection/>
    </xf>
    <xf numFmtId="2" fontId="7" fillId="0" borderId="6" xfId="56" applyNumberFormat="1" applyFont="1" applyFill="1" applyBorder="1" applyAlignment="1" applyProtection="1">
      <alignment horizontal="center" vertical="center"/>
      <protection hidden="1"/>
    </xf>
    <xf numFmtId="0" fontId="7" fillId="0" borderId="0" xfId="56" applyFont="1" applyProtection="1">
      <alignment/>
      <protection hidden="1"/>
    </xf>
    <xf numFmtId="3" fontId="48" fillId="0" borderId="0" xfId="68" applyNumberFormat="1" applyFont="1" applyFill="1" applyBorder="1">
      <alignment/>
      <protection/>
    </xf>
    <xf numFmtId="4" fontId="7" fillId="0" borderId="0" xfId="56" applyNumberFormat="1" applyFont="1" applyFill="1" applyBorder="1" applyAlignment="1" applyProtection="1">
      <alignment horizontal="center" vertical="center"/>
      <protection hidden="1"/>
    </xf>
    <xf numFmtId="0" fontId="7" fillId="35" borderId="5" xfId="56" applyNumberFormat="1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center" vertical="center"/>
      <protection/>
    </xf>
    <xf numFmtId="9" fontId="7" fillId="35" borderId="5" xfId="56" applyNumberFormat="1" applyFont="1" applyFill="1" applyBorder="1" applyAlignment="1" applyProtection="1">
      <alignment horizontal="center" vertical="center"/>
      <protection locked="0"/>
    </xf>
    <xf numFmtId="9" fontId="7" fillId="35" borderId="5" xfId="0" applyNumberFormat="1" applyFont="1" applyFill="1" applyBorder="1" applyAlignment="1" applyProtection="1">
      <alignment horizontal="center" vertical="center"/>
      <protection locked="0"/>
    </xf>
    <xf numFmtId="164" fontId="7" fillId="0" borderId="4" xfId="56" applyNumberFormat="1" applyFont="1" applyFill="1" applyBorder="1" applyAlignment="1" applyProtection="1">
      <alignment horizontal="center" vertical="center"/>
      <protection hidden="1"/>
    </xf>
    <xf numFmtId="2" fontId="7" fillId="0" borderId="0" xfId="67" applyNumberFormat="1" applyFont="1" applyFill="1" applyBorder="1" applyAlignment="1" applyProtection="1">
      <alignment horizontal="center" vertical="center"/>
      <protection/>
    </xf>
    <xf numFmtId="164" fontId="7" fillId="0" borderId="6" xfId="56" applyNumberFormat="1" applyFont="1" applyFill="1" applyBorder="1" applyAlignment="1" applyProtection="1">
      <alignment horizontal="center" vertical="center"/>
      <protection hidden="1"/>
    </xf>
    <xf numFmtId="0" fontId="7" fillId="35" borderId="4" xfId="56" applyFont="1" applyFill="1" applyBorder="1" applyAlignment="1" applyProtection="1">
      <alignment horizontal="center" vertical="center"/>
      <protection locked="0"/>
    </xf>
    <xf numFmtId="0" fontId="7" fillId="35" borderId="6" xfId="56" applyFont="1" applyFill="1" applyBorder="1" applyAlignment="1" applyProtection="1">
      <alignment horizontal="center" vertical="center"/>
      <protection locked="0"/>
    </xf>
    <xf numFmtId="2" fontId="7" fillId="35" borderId="4" xfId="56" applyNumberFormat="1" applyFont="1" applyFill="1" applyBorder="1" applyAlignment="1" applyProtection="1">
      <alignment horizontal="center" vertical="center"/>
      <protection locked="0"/>
    </xf>
    <xf numFmtId="0" fontId="7" fillId="34" borderId="14" xfId="67" applyFont="1" applyFill="1" applyBorder="1" applyAlignment="1" applyProtection="1">
      <alignment horizontal="center" vertical="center"/>
      <protection hidden="1"/>
    </xf>
    <xf numFmtId="2" fontId="7" fillId="35" borderId="14" xfId="56" applyNumberFormat="1" applyFont="1" applyFill="1" applyBorder="1" applyAlignment="1" applyProtection="1">
      <alignment horizontal="center" vertical="center"/>
      <protection locked="0"/>
    </xf>
    <xf numFmtId="2" fontId="7" fillId="35" borderId="6" xfId="56" applyNumberFormat="1" applyFont="1" applyFill="1" applyBorder="1" applyAlignment="1" applyProtection="1">
      <alignment horizontal="center" vertical="center"/>
      <protection locked="0"/>
    </xf>
    <xf numFmtId="49" fontId="7" fillId="0" borderId="0" xfId="56" applyNumberFormat="1" applyFont="1" applyFill="1" applyBorder="1" applyAlignment="1" applyProtection="1">
      <alignment horizontal="center" vertical="center"/>
      <protection hidden="1"/>
    </xf>
    <xf numFmtId="0" fontId="48" fillId="27" borderId="15" xfId="68" applyFont="1" applyFill="1" applyBorder="1" applyAlignment="1">
      <alignment horizontal="center" vertical="center"/>
      <protection/>
    </xf>
    <xf numFmtId="1" fontId="7" fillId="0" borderId="14" xfId="56" applyNumberFormat="1" applyFont="1" applyFill="1" applyBorder="1" applyAlignment="1" applyProtection="1">
      <alignment horizontal="center" vertical="center"/>
      <protection hidden="1"/>
    </xf>
    <xf numFmtId="0" fontId="48" fillId="27" borderId="16" xfId="68" applyFont="1" applyFill="1" applyBorder="1" applyAlignment="1">
      <alignment horizontal="center" vertical="center"/>
      <protection/>
    </xf>
    <xf numFmtId="0" fontId="7" fillId="35" borderId="5" xfId="56" applyFont="1" applyFill="1" applyBorder="1" applyAlignment="1" applyProtection="1">
      <alignment horizontal="center" vertical="center"/>
      <protection locked="0"/>
    </xf>
    <xf numFmtId="0" fontId="7" fillId="0" borderId="0" xfId="56" applyFont="1">
      <alignment/>
      <protection/>
    </xf>
    <xf numFmtId="167" fontId="7" fillId="0" borderId="0" xfId="56" applyNumberFormat="1" applyFont="1" applyFill="1" applyBorder="1" applyAlignment="1" applyProtection="1">
      <alignment horizontal="center" vertical="center"/>
      <protection hidden="1"/>
    </xf>
    <xf numFmtId="164" fontId="7" fillId="35" borderId="5" xfId="56" applyNumberFormat="1" applyFont="1" applyFill="1" applyBorder="1" applyAlignment="1" applyProtection="1">
      <alignment horizontal="center" vertical="center"/>
      <protection locked="0"/>
    </xf>
    <xf numFmtId="0" fontId="48" fillId="27" borderId="17" xfId="68" applyFont="1" applyFill="1" applyBorder="1" applyAlignment="1">
      <alignment horizontal="center" vertical="center"/>
      <protection/>
    </xf>
    <xf numFmtId="0" fontId="7" fillId="0" borderId="4" xfId="56" applyFont="1" applyFill="1" applyBorder="1" applyAlignment="1" applyProtection="1">
      <alignment horizontal="center" vertical="center"/>
      <protection hidden="1"/>
    </xf>
    <xf numFmtId="0" fontId="7" fillId="0" borderId="6" xfId="56" applyFont="1" applyFill="1" applyBorder="1" applyAlignment="1" applyProtection="1">
      <alignment horizontal="center" vertical="center"/>
      <protection hidden="1"/>
    </xf>
    <xf numFmtId="1" fontId="7" fillId="0" borderId="4" xfId="56" applyNumberFormat="1" applyFont="1" applyBorder="1" applyAlignment="1" applyProtection="1">
      <alignment horizontal="center" vertical="center"/>
      <protection hidden="1"/>
    </xf>
    <xf numFmtId="10" fontId="7" fillId="0" borderId="0" xfId="56" applyNumberFormat="1" applyFont="1" applyFill="1" applyBorder="1" applyAlignment="1" applyProtection="1">
      <alignment horizontal="center" vertical="center"/>
      <protection hidden="1"/>
    </xf>
    <xf numFmtId="0" fontId="7" fillId="0" borderId="0" xfId="67" applyFont="1" applyProtection="1">
      <alignment/>
      <protection/>
    </xf>
    <xf numFmtId="49" fontId="7" fillId="35" borderId="5" xfId="56" applyNumberFormat="1" applyFont="1" applyFill="1" applyBorder="1" applyAlignment="1" applyProtection="1">
      <alignment horizontal="center" vertical="center"/>
      <protection locked="0"/>
    </xf>
    <xf numFmtId="168" fontId="7" fillId="0" borderId="0" xfId="56" applyNumberFormat="1" applyFont="1" applyFill="1" applyBorder="1" applyAlignment="1" applyProtection="1">
      <alignment horizontal="center" vertical="center"/>
      <protection hidden="1"/>
    </xf>
    <xf numFmtId="168" fontId="7" fillId="0" borderId="0" xfId="67" applyNumberFormat="1" applyFont="1" applyFill="1" applyBorder="1" applyAlignment="1" applyProtection="1">
      <alignment horizontal="center" vertical="center"/>
      <protection/>
    </xf>
    <xf numFmtId="168" fontId="7" fillId="0" borderId="0" xfId="67" applyNumberFormat="1" applyFont="1" applyFill="1" applyBorder="1" applyAlignment="1" applyProtection="1">
      <alignment horizontal="center" vertical="center"/>
      <protection hidden="1"/>
    </xf>
    <xf numFmtId="166" fontId="7" fillId="0" borderId="0" xfId="56" applyNumberFormat="1" applyFont="1" applyFill="1" applyBorder="1" applyAlignment="1" applyProtection="1">
      <alignment horizontal="center" vertical="center"/>
      <protection hidden="1"/>
    </xf>
    <xf numFmtId="0" fontId="7" fillId="0" borderId="0" xfId="67" applyFont="1" applyProtection="1">
      <alignment/>
      <protection hidden="1"/>
    </xf>
    <xf numFmtId="3" fontId="48" fillId="0" borderId="0" xfId="68" applyNumberFormat="1" applyFont="1" applyFill="1" applyBorder="1" applyAlignment="1">
      <alignment horizontal="center"/>
      <protection/>
    </xf>
    <xf numFmtId="1" fontId="48" fillId="0" borderId="0" xfId="0" applyNumberFormat="1" applyFont="1" applyAlignment="1">
      <alignment horizontal="center"/>
    </xf>
    <xf numFmtId="0" fontId="7" fillId="34" borderId="18" xfId="67" applyFont="1" applyFill="1" applyBorder="1" applyAlignment="1" applyProtection="1">
      <alignment horizontal="center" vertical="center"/>
      <protection hidden="1"/>
    </xf>
    <xf numFmtId="0" fontId="7" fillId="34" borderId="19" xfId="67" applyFont="1" applyFill="1" applyBorder="1" applyAlignment="1" applyProtection="1">
      <alignment horizontal="center" vertical="center"/>
      <protection hidden="1"/>
    </xf>
    <xf numFmtId="0" fontId="7" fillId="35" borderId="20" xfId="56" applyFont="1" applyFill="1" applyBorder="1" applyAlignment="1" applyProtection="1">
      <alignment horizontal="center" vertical="center"/>
      <protection locked="0"/>
    </xf>
    <xf numFmtId="0" fontId="7" fillId="35" borderId="21" xfId="56" applyFont="1" applyFill="1" applyBorder="1" applyAlignment="1" applyProtection="1">
      <alignment horizontal="center" vertical="center"/>
      <protection locked="0"/>
    </xf>
    <xf numFmtId="2" fontId="7" fillId="35" borderId="20" xfId="56" applyNumberFormat="1" applyFont="1" applyFill="1" applyBorder="1" applyAlignment="1" applyProtection="1">
      <alignment horizontal="center" vertical="center"/>
      <protection locked="0"/>
    </xf>
    <xf numFmtId="2" fontId="7" fillId="35" borderId="21" xfId="56" applyNumberFormat="1" applyFont="1" applyFill="1" applyBorder="1" applyAlignment="1" applyProtection="1">
      <alignment horizontal="center" vertical="center"/>
      <protection locked="0"/>
    </xf>
    <xf numFmtId="0" fontId="7" fillId="34" borderId="22" xfId="67" applyFont="1" applyFill="1" applyBorder="1" applyAlignment="1" applyProtection="1">
      <alignment horizontal="center" vertical="center"/>
      <protection hidden="1"/>
    </xf>
    <xf numFmtId="0" fontId="7" fillId="35" borderId="23" xfId="56" applyFont="1" applyFill="1" applyBorder="1" applyAlignment="1" applyProtection="1">
      <alignment horizontal="center" vertical="center"/>
      <protection locked="0"/>
    </xf>
    <xf numFmtId="0" fontId="7" fillId="34" borderId="13" xfId="67" applyNumberFormat="1" applyFont="1" applyFill="1" applyBorder="1" applyAlignment="1" applyProtection="1">
      <alignment horizontal="center" vertical="center"/>
      <protection hidden="1"/>
    </xf>
    <xf numFmtId="0" fontId="7" fillId="34" borderId="13" xfId="67" applyFont="1" applyFill="1" applyBorder="1" applyAlignment="1" applyProtection="1">
      <alignment horizontal="center" vertical="center"/>
      <protection hidden="1"/>
    </xf>
    <xf numFmtId="0" fontId="48" fillId="0" borderId="0" xfId="68" applyFont="1" applyFill="1" applyBorder="1" applyAlignment="1">
      <alignment vertical="center"/>
      <protection/>
    </xf>
    <xf numFmtId="0" fontId="48" fillId="0" borderId="0" xfId="68" applyFont="1" applyFill="1" applyBorder="1" applyAlignment="1">
      <alignment/>
      <protection/>
    </xf>
    <xf numFmtId="164" fontId="7" fillId="35" borderId="20" xfId="56" applyNumberFormat="1" applyFont="1" applyFill="1" applyBorder="1" applyAlignment="1" applyProtection="1">
      <alignment horizontal="center" vertical="center"/>
      <protection locked="0"/>
    </xf>
    <xf numFmtId="164" fontId="7" fillId="35" borderId="21" xfId="56" applyNumberFormat="1" applyFont="1" applyFill="1" applyBorder="1" applyAlignment="1" applyProtection="1">
      <alignment horizontal="center" vertical="center"/>
      <protection locked="0"/>
    </xf>
    <xf numFmtId="0" fontId="7" fillId="0" borderId="24" xfId="56" applyFont="1" applyFill="1" applyBorder="1" applyAlignment="1" applyProtection="1">
      <alignment horizontal="center" vertical="center"/>
      <protection hidden="1"/>
    </xf>
    <xf numFmtId="0" fontId="7" fillId="0" borderId="25" xfId="56" applyFont="1" applyBorder="1" applyAlignment="1" applyProtection="1">
      <alignment horizontal="center" vertical="center"/>
      <protection hidden="1"/>
    </xf>
    <xf numFmtId="0" fontId="7" fillId="0" borderId="25" xfId="56" applyNumberFormat="1" applyFont="1" applyFill="1" applyBorder="1" applyAlignment="1" applyProtection="1">
      <alignment horizontal="center" vertical="center"/>
      <protection hidden="1"/>
    </xf>
    <xf numFmtId="0" fontId="7" fillId="0" borderId="25" xfId="67" applyFont="1" applyBorder="1" applyAlignment="1" applyProtection="1">
      <alignment horizontal="center" vertical="center"/>
      <protection/>
    </xf>
    <xf numFmtId="0" fontId="7" fillId="0" borderId="25" xfId="56" applyFont="1" applyFill="1" applyBorder="1" applyAlignment="1" applyProtection="1">
      <alignment horizontal="center" vertical="center"/>
      <protection hidden="1"/>
    </xf>
    <xf numFmtId="0" fontId="7" fillId="0" borderId="25" xfId="67" applyFont="1" applyFill="1" applyBorder="1" applyAlignment="1" applyProtection="1">
      <alignment horizontal="center" vertical="center"/>
      <protection hidden="1"/>
    </xf>
    <xf numFmtId="0" fontId="48" fillId="0" borderId="25" xfId="0" applyFont="1" applyBorder="1" applyAlignment="1">
      <alignment/>
    </xf>
    <xf numFmtId="0" fontId="48" fillId="0" borderId="26" xfId="0" applyFont="1" applyBorder="1" applyAlignment="1">
      <alignment/>
    </xf>
    <xf numFmtId="0" fontId="7" fillId="0" borderId="27" xfId="56" applyFont="1" applyFill="1" applyBorder="1" applyAlignment="1" applyProtection="1">
      <alignment horizontal="center" vertical="center"/>
      <protection hidden="1"/>
    </xf>
    <xf numFmtId="0" fontId="48" fillId="0" borderId="28" xfId="0" applyFont="1" applyBorder="1" applyAlignment="1">
      <alignment/>
    </xf>
    <xf numFmtId="0" fontId="7" fillId="0" borderId="0" xfId="56" applyFont="1" applyBorder="1" applyAlignment="1" applyProtection="1">
      <alignment horizontal="center" vertical="center"/>
      <protection hidden="1"/>
    </xf>
    <xf numFmtId="1" fontId="48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 horizontal="center"/>
    </xf>
    <xf numFmtId="0" fontId="7" fillId="0" borderId="0" xfId="56" applyFont="1" applyBorder="1" applyProtection="1">
      <alignment/>
      <protection hidden="1"/>
    </xf>
    <xf numFmtId="0" fontId="7" fillId="0" borderId="0" xfId="56" applyFont="1" applyBorder="1">
      <alignment/>
      <protection/>
    </xf>
    <xf numFmtId="0" fontId="48" fillId="0" borderId="0" xfId="0" applyFont="1" applyBorder="1" applyAlignment="1" quotePrefix="1">
      <alignment/>
    </xf>
    <xf numFmtId="0" fontId="7" fillId="0" borderId="0" xfId="67" applyFont="1" applyBorder="1" applyProtection="1">
      <alignment/>
      <protection/>
    </xf>
    <xf numFmtId="168" fontId="7" fillId="0" borderId="27" xfId="56" applyNumberFormat="1" applyFont="1" applyFill="1" applyBorder="1" applyAlignment="1" applyProtection="1">
      <alignment horizontal="center" vertical="center"/>
      <protection hidden="1"/>
    </xf>
    <xf numFmtId="0" fontId="7" fillId="0" borderId="27" xfId="56" applyFont="1" applyBorder="1" applyProtection="1">
      <alignment/>
      <protection hidden="1"/>
    </xf>
    <xf numFmtId="0" fontId="7" fillId="0" borderId="0" xfId="67" applyFont="1" applyBorder="1" applyProtection="1">
      <alignment/>
      <protection hidden="1"/>
    </xf>
    <xf numFmtId="0" fontId="7" fillId="0" borderId="29" xfId="56" applyFont="1" applyBorder="1" applyProtection="1">
      <alignment/>
      <protection hidden="1"/>
    </xf>
    <xf numFmtId="0" fontId="7" fillId="0" borderId="30" xfId="56" applyFont="1" applyBorder="1" applyProtection="1">
      <alignment/>
      <protection hidden="1"/>
    </xf>
    <xf numFmtId="0" fontId="7" fillId="0" borderId="30" xfId="56" applyFont="1" applyBorder="1">
      <alignment/>
      <protection/>
    </xf>
    <xf numFmtId="0" fontId="7" fillId="0" borderId="30" xfId="67" applyFont="1" applyBorder="1" applyProtection="1">
      <alignment/>
      <protection/>
    </xf>
    <xf numFmtId="0" fontId="7" fillId="0" borderId="30" xfId="67" applyFont="1" applyBorder="1" applyProtection="1">
      <alignment/>
      <protection hidden="1"/>
    </xf>
    <xf numFmtId="0" fontId="48" fillId="0" borderId="30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 locked="0"/>
    </xf>
    <xf numFmtId="0" fontId="7" fillId="0" borderId="0" xfId="56" applyFont="1" applyBorder="1" applyProtection="1">
      <alignment/>
      <protection locked="0"/>
    </xf>
    <xf numFmtId="0" fontId="6" fillId="36" borderId="18" xfId="56" applyFont="1" applyFill="1" applyBorder="1" applyAlignment="1" applyProtection="1">
      <alignment/>
      <protection/>
    </xf>
    <xf numFmtId="0" fontId="6" fillId="36" borderId="32" xfId="56" applyFont="1" applyFill="1" applyBorder="1" applyAlignment="1" applyProtection="1">
      <alignment/>
      <protection/>
    </xf>
    <xf numFmtId="0" fontId="49" fillId="36" borderId="33" xfId="67" applyFont="1" applyFill="1" applyBorder="1" applyAlignment="1" applyProtection="1">
      <alignment vertical="center"/>
      <protection locked="0"/>
    </xf>
    <xf numFmtId="0" fontId="7" fillId="0" borderId="33" xfId="67" applyFont="1" applyFill="1" applyBorder="1" applyAlignment="1" applyProtection="1">
      <alignment vertical="center"/>
      <protection locked="0"/>
    </xf>
    <xf numFmtId="0" fontId="7" fillId="0" borderId="33" xfId="67" applyNumberFormat="1" applyFont="1" applyFill="1" applyBorder="1" applyAlignment="1" applyProtection="1">
      <alignment vertical="center"/>
      <protection locked="0"/>
    </xf>
    <xf numFmtId="9" fontId="48" fillId="0" borderId="16" xfId="58" applyFont="1" applyFill="1" applyBorder="1" applyAlignment="1" applyProtection="1">
      <alignment horizontal="center" vertical="center"/>
      <protection/>
    </xf>
    <xf numFmtId="9" fontId="48" fillId="0" borderId="0" xfId="58" applyFont="1" applyFill="1" applyBorder="1" applyAlignment="1" applyProtection="1">
      <alignment horizontal="center" vertical="center"/>
      <protection/>
    </xf>
    <xf numFmtId="9" fontId="48" fillId="0" borderId="34" xfId="58" applyFont="1" applyFill="1" applyBorder="1" applyAlignment="1" applyProtection="1">
      <alignment horizontal="center" vertical="center"/>
      <protection/>
    </xf>
    <xf numFmtId="9" fontId="48" fillId="0" borderId="17" xfId="58" applyFont="1" applyFill="1" applyBorder="1" applyAlignment="1" applyProtection="1">
      <alignment horizontal="center" vertical="center"/>
      <protection/>
    </xf>
    <xf numFmtId="9" fontId="48" fillId="0" borderId="35" xfId="58" applyFont="1" applyFill="1" applyBorder="1" applyAlignment="1" applyProtection="1">
      <alignment horizontal="center" vertical="center"/>
      <protection/>
    </xf>
    <xf numFmtId="9" fontId="48" fillId="0" borderId="36" xfId="58" applyFont="1" applyFill="1" applyBorder="1" applyAlignment="1" applyProtection="1">
      <alignment horizontal="center" vertical="center"/>
      <protection/>
    </xf>
    <xf numFmtId="0" fontId="49" fillId="36" borderId="16" xfId="67" applyFont="1" applyFill="1" applyBorder="1" applyAlignment="1" applyProtection="1">
      <alignment horizontal="center" vertical="center"/>
      <protection hidden="1"/>
    </xf>
    <xf numFmtId="0" fontId="49" fillId="36" borderId="0" xfId="67" applyFont="1" applyFill="1" applyBorder="1" applyAlignment="1" applyProtection="1">
      <alignment horizontal="center" vertical="center"/>
      <protection hidden="1"/>
    </xf>
    <xf numFmtId="166" fontId="48" fillId="0" borderId="16" xfId="68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66" fontId="48" fillId="0" borderId="15" xfId="68" applyNumberFormat="1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33" borderId="33" xfId="67" applyFont="1" applyFill="1" applyBorder="1" applyAlignment="1" applyProtection="1">
      <alignment horizontal="center" vertical="center" wrapText="1"/>
      <protection hidden="1"/>
    </xf>
    <xf numFmtId="0" fontId="7" fillId="33" borderId="20" xfId="67" applyFont="1" applyFill="1" applyBorder="1" applyAlignment="1" applyProtection="1">
      <alignment horizontal="center" vertical="center" wrapText="1"/>
      <protection hidden="1"/>
    </xf>
    <xf numFmtId="1" fontId="48" fillId="0" borderId="16" xfId="0" applyNumberFormat="1" applyFont="1" applyFill="1" applyBorder="1" applyAlignment="1" applyProtection="1">
      <alignment horizontal="center" vertical="center"/>
      <protection/>
    </xf>
    <xf numFmtId="1" fontId="48" fillId="0" borderId="0" xfId="0" applyNumberFormat="1" applyFont="1" applyFill="1" applyBorder="1" applyAlignment="1" applyProtection="1">
      <alignment horizontal="center" vertical="center"/>
      <protection/>
    </xf>
    <xf numFmtId="1" fontId="48" fillId="0" borderId="34" xfId="0" applyNumberFormat="1" applyFont="1" applyFill="1" applyBorder="1" applyAlignment="1" applyProtection="1">
      <alignment horizontal="center" vertical="center"/>
      <protection/>
    </xf>
    <xf numFmtId="1" fontId="48" fillId="37" borderId="20" xfId="0" applyNumberFormat="1" applyFont="1" applyFill="1" applyBorder="1" applyAlignment="1" applyProtection="1">
      <alignment horizontal="center" vertical="center"/>
      <protection locked="0"/>
    </xf>
    <xf numFmtId="1" fontId="48" fillId="37" borderId="23" xfId="0" applyNumberFormat="1" applyFont="1" applyFill="1" applyBorder="1" applyAlignment="1" applyProtection="1">
      <alignment horizontal="center" vertical="center"/>
      <protection locked="0"/>
    </xf>
    <xf numFmtId="9" fontId="48" fillId="0" borderId="15" xfId="58" applyFont="1" applyFill="1" applyBorder="1" applyAlignment="1" applyProtection="1">
      <alignment horizontal="center" vertical="center"/>
      <protection/>
    </xf>
    <xf numFmtId="9" fontId="48" fillId="0" borderId="37" xfId="58" applyFont="1" applyFill="1" applyBorder="1" applyAlignment="1" applyProtection="1">
      <alignment horizontal="center" vertical="center"/>
      <protection/>
    </xf>
    <xf numFmtId="9" fontId="48" fillId="0" borderId="38" xfId="58" applyFont="1" applyFill="1" applyBorder="1" applyAlignment="1" applyProtection="1">
      <alignment horizontal="center" vertical="center"/>
      <protection/>
    </xf>
    <xf numFmtId="0" fontId="7" fillId="33" borderId="21" xfId="67" applyFont="1" applyFill="1" applyBorder="1" applyAlignment="1" applyProtection="1">
      <alignment horizontal="center" vertical="center" wrapText="1"/>
      <protection hidden="1"/>
    </xf>
    <xf numFmtId="0" fontId="7" fillId="38" borderId="21" xfId="67" applyFont="1" applyFill="1" applyBorder="1" applyAlignment="1" applyProtection="1">
      <alignment horizontal="center" vertical="center" wrapText="1"/>
      <protection hidden="1"/>
    </xf>
    <xf numFmtId="0" fontId="7" fillId="38" borderId="33" xfId="67" applyFont="1" applyFill="1" applyBorder="1" applyAlignment="1" applyProtection="1">
      <alignment horizontal="center" vertical="center" wrapText="1"/>
      <protection hidden="1"/>
    </xf>
    <xf numFmtId="0" fontId="7" fillId="38" borderId="20" xfId="67" applyFont="1" applyFill="1" applyBorder="1" applyAlignment="1" applyProtection="1">
      <alignment horizontal="center" vertical="center" wrapText="1"/>
      <protection hidden="1"/>
    </xf>
    <xf numFmtId="166" fontId="48" fillId="37" borderId="20" xfId="0" applyNumberFormat="1" applyFont="1" applyFill="1" applyBorder="1" applyAlignment="1" applyProtection="1">
      <alignment horizontal="center" vertical="center"/>
      <protection locked="0"/>
    </xf>
    <xf numFmtId="166" fontId="48" fillId="0" borderId="20" xfId="68" applyNumberFormat="1" applyFont="1" applyFill="1" applyBorder="1" applyAlignment="1">
      <alignment horizontal="center" vertical="center"/>
      <protection/>
    </xf>
    <xf numFmtId="166" fontId="48" fillId="37" borderId="16" xfId="0" applyNumberFormat="1" applyFont="1" applyFill="1" applyBorder="1" applyAlignment="1" applyProtection="1">
      <alignment horizontal="center" vertical="center"/>
      <protection locked="0"/>
    </xf>
    <xf numFmtId="166" fontId="48" fillId="37" borderId="0" xfId="0" applyNumberFormat="1" applyFont="1" applyFill="1" applyBorder="1" applyAlignment="1" applyProtection="1">
      <alignment horizontal="center" vertical="center"/>
      <protection locked="0"/>
    </xf>
    <xf numFmtId="166" fontId="48" fillId="37" borderId="34" xfId="0" applyNumberFormat="1" applyFont="1" applyFill="1" applyBorder="1" applyAlignment="1" applyProtection="1">
      <alignment horizontal="center" vertical="center"/>
      <protection locked="0"/>
    </xf>
    <xf numFmtId="166" fontId="48" fillId="37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15" xfId="67" applyFont="1" applyFill="1" applyBorder="1" applyAlignment="1" applyProtection="1">
      <alignment horizontal="center" vertical="center" wrapText="1"/>
      <protection hidden="1"/>
    </xf>
    <xf numFmtId="0" fontId="7" fillId="33" borderId="37" xfId="67" applyFont="1" applyFill="1" applyBorder="1" applyAlignment="1" applyProtection="1">
      <alignment horizontal="center" vertical="center" wrapText="1"/>
      <protection hidden="1"/>
    </xf>
    <xf numFmtId="0" fontId="7" fillId="33" borderId="38" xfId="67" applyFont="1" applyFill="1" applyBorder="1" applyAlignment="1" applyProtection="1">
      <alignment horizontal="center" vertical="center" wrapText="1"/>
      <protection hidden="1"/>
    </xf>
    <xf numFmtId="0" fontId="7" fillId="33" borderId="16" xfId="67" applyFont="1" applyFill="1" applyBorder="1" applyAlignment="1" applyProtection="1">
      <alignment horizontal="center" vertical="center" wrapText="1"/>
      <protection hidden="1"/>
    </xf>
    <xf numFmtId="0" fontId="7" fillId="33" borderId="0" xfId="67" applyFont="1" applyFill="1" applyBorder="1" applyAlignment="1" applyProtection="1">
      <alignment horizontal="center" vertical="center" wrapText="1"/>
      <protection hidden="1"/>
    </xf>
    <xf numFmtId="0" fontId="7" fillId="33" borderId="34" xfId="67" applyFont="1" applyFill="1" applyBorder="1" applyAlignment="1" applyProtection="1">
      <alignment horizontal="center" vertical="center" wrapText="1"/>
      <protection hidden="1"/>
    </xf>
    <xf numFmtId="0" fontId="7" fillId="33" borderId="17" xfId="67" applyFont="1" applyFill="1" applyBorder="1" applyAlignment="1" applyProtection="1">
      <alignment horizontal="center" vertical="center" wrapText="1"/>
      <protection hidden="1"/>
    </xf>
    <xf numFmtId="0" fontId="7" fillId="33" borderId="35" xfId="67" applyFont="1" applyFill="1" applyBorder="1" applyAlignment="1" applyProtection="1">
      <alignment horizontal="center" vertical="center" wrapText="1"/>
      <protection hidden="1"/>
    </xf>
    <xf numFmtId="0" fontId="7" fillId="33" borderId="36" xfId="67" applyFont="1" applyFill="1" applyBorder="1" applyAlignment="1" applyProtection="1">
      <alignment horizontal="center" vertical="center" wrapText="1"/>
      <protection hidden="1"/>
    </xf>
    <xf numFmtId="0" fontId="48" fillId="0" borderId="16" xfId="0" applyFont="1" applyBorder="1" applyAlignment="1">
      <alignment horizontal="center" vertical="center" textRotation="90"/>
    </xf>
    <xf numFmtId="1" fontId="7" fillId="0" borderId="38" xfId="68" applyNumberFormat="1" applyFont="1" applyFill="1" applyBorder="1" applyAlignment="1">
      <alignment horizontal="center" vertical="center"/>
      <protection/>
    </xf>
    <xf numFmtId="1" fontId="7" fillId="0" borderId="20" xfId="68" applyNumberFormat="1" applyFont="1" applyFill="1" applyBorder="1" applyAlignment="1">
      <alignment horizontal="center" vertical="center"/>
      <protection/>
    </xf>
    <xf numFmtId="1" fontId="48" fillId="0" borderId="20" xfId="68" applyNumberFormat="1" applyFont="1" applyFill="1" applyBorder="1" applyAlignment="1">
      <alignment horizontal="center" vertical="center"/>
      <protection/>
    </xf>
    <xf numFmtId="1" fontId="49" fillId="0" borderId="20" xfId="68" applyNumberFormat="1" applyFont="1" applyFill="1" applyBorder="1" applyAlignment="1">
      <alignment horizontal="center" vertical="center"/>
      <protection/>
    </xf>
    <xf numFmtId="1" fontId="48" fillId="0" borderId="23" xfId="0" applyNumberFormat="1" applyFont="1" applyFill="1" applyBorder="1" applyAlignment="1" applyProtection="1">
      <alignment horizontal="center" vertical="center"/>
      <protection/>
    </xf>
    <xf numFmtId="0" fontId="7" fillId="33" borderId="33" xfId="67" applyFont="1" applyFill="1" applyBorder="1" applyAlignment="1" applyProtection="1">
      <alignment horizontal="center" vertical="center" textRotation="90"/>
      <protection hidden="1"/>
    </xf>
    <xf numFmtId="166" fontId="48" fillId="37" borderId="15" xfId="0" applyNumberFormat="1" applyFont="1" applyFill="1" applyBorder="1" applyAlignment="1" applyProtection="1">
      <alignment horizontal="center" vertical="center"/>
      <protection locked="0"/>
    </xf>
    <xf numFmtId="166" fontId="48" fillId="37" borderId="37" xfId="0" applyNumberFormat="1" applyFont="1" applyFill="1" applyBorder="1" applyAlignment="1" applyProtection="1">
      <alignment horizontal="center" vertical="center"/>
      <protection locked="0"/>
    </xf>
    <xf numFmtId="166" fontId="48" fillId="37" borderId="38" xfId="0" applyNumberFormat="1" applyFont="1" applyFill="1" applyBorder="1" applyAlignment="1" applyProtection="1">
      <alignment horizontal="center" vertical="center"/>
      <protection locked="0"/>
    </xf>
    <xf numFmtId="0" fontId="7" fillId="34" borderId="33" xfId="67" applyFont="1" applyFill="1" applyBorder="1" applyAlignment="1" applyProtection="1">
      <alignment horizontal="center" vertical="center"/>
      <protection hidden="1"/>
    </xf>
    <xf numFmtId="3" fontId="48" fillId="37" borderId="33" xfId="0" applyNumberFormat="1" applyFont="1" applyFill="1" applyBorder="1" applyAlignment="1" applyProtection="1">
      <alignment horizontal="center" vertical="center"/>
      <protection locked="0"/>
    </xf>
    <xf numFmtId="0" fontId="49" fillId="36" borderId="22" xfId="67" applyFont="1" applyFill="1" applyBorder="1" applyAlignment="1" applyProtection="1">
      <alignment horizontal="center" vertical="center"/>
      <protection hidden="1"/>
    </xf>
    <xf numFmtId="0" fontId="48" fillId="37" borderId="39" xfId="68" applyFont="1" applyFill="1" applyBorder="1" applyAlignment="1" applyProtection="1">
      <alignment horizontal="center" vertical="center"/>
      <protection locked="0"/>
    </xf>
    <xf numFmtId="0" fontId="48" fillId="37" borderId="40" xfId="68" applyFont="1" applyFill="1" applyBorder="1" applyAlignment="1" applyProtection="1">
      <alignment horizontal="center" vertical="center"/>
      <protection locked="0"/>
    </xf>
    <xf numFmtId="0" fontId="48" fillId="37" borderId="41" xfId="68" applyFont="1" applyFill="1" applyBorder="1" applyAlignment="1" applyProtection="1">
      <alignment horizontal="center" vertical="center"/>
      <protection locked="0"/>
    </xf>
    <xf numFmtId="3" fontId="48" fillId="37" borderId="39" xfId="68" applyNumberFormat="1" applyFont="1" applyFill="1" applyBorder="1" applyAlignment="1" applyProtection="1">
      <alignment horizontal="center" vertical="center"/>
      <protection locked="0"/>
    </xf>
    <xf numFmtId="3" fontId="48" fillId="37" borderId="40" xfId="68" applyNumberFormat="1" applyFont="1" applyFill="1" applyBorder="1" applyAlignment="1" applyProtection="1">
      <alignment horizontal="center" vertical="center"/>
      <protection locked="0"/>
    </xf>
    <xf numFmtId="3" fontId="48" fillId="37" borderId="41" xfId="68" applyNumberFormat="1" applyFont="1" applyFill="1" applyBorder="1" applyAlignment="1" applyProtection="1">
      <alignment horizontal="center" vertical="center"/>
      <protection locked="0"/>
    </xf>
    <xf numFmtId="166" fontId="48" fillId="37" borderId="39" xfId="68" applyNumberFormat="1" applyFont="1" applyFill="1" applyBorder="1" applyAlignment="1" applyProtection="1">
      <alignment horizontal="center" vertical="center"/>
      <protection locked="0"/>
    </xf>
    <xf numFmtId="166" fontId="48" fillId="37" borderId="40" xfId="68" applyNumberFormat="1" applyFont="1" applyFill="1" applyBorder="1" applyAlignment="1" applyProtection="1">
      <alignment horizontal="center" vertical="center"/>
      <protection locked="0"/>
    </xf>
    <xf numFmtId="166" fontId="48" fillId="37" borderId="41" xfId="68" applyNumberFormat="1" applyFont="1" applyFill="1" applyBorder="1" applyAlignment="1" applyProtection="1">
      <alignment horizontal="center" vertical="center"/>
      <protection locked="0"/>
    </xf>
    <xf numFmtId="9" fontId="48" fillId="37" borderId="39" xfId="59" applyFont="1" applyFill="1" applyBorder="1" applyAlignment="1" applyProtection="1">
      <alignment horizontal="center" vertical="center"/>
      <protection locked="0"/>
    </xf>
    <xf numFmtId="9" fontId="48" fillId="37" borderId="40" xfId="59" applyFont="1" applyFill="1" applyBorder="1" applyAlignment="1" applyProtection="1">
      <alignment horizontal="center" vertical="center"/>
      <protection locked="0"/>
    </xf>
    <xf numFmtId="9" fontId="48" fillId="37" borderId="41" xfId="59" applyFont="1" applyFill="1" applyBorder="1" applyAlignment="1" applyProtection="1">
      <alignment horizontal="center" vertical="center"/>
      <protection locked="0"/>
    </xf>
    <xf numFmtId="166" fontId="48" fillId="0" borderId="39" xfId="68" applyNumberFormat="1" applyFont="1" applyFill="1" applyBorder="1" applyAlignment="1">
      <alignment horizontal="center" vertical="center"/>
      <protection/>
    </xf>
    <xf numFmtId="166" fontId="48" fillId="0" borderId="40" xfId="68" applyNumberFormat="1" applyFont="1" applyFill="1" applyBorder="1" applyAlignment="1">
      <alignment horizontal="center" vertical="center"/>
      <protection/>
    </xf>
    <xf numFmtId="166" fontId="48" fillId="0" borderId="41" xfId="68" applyNumberFormat="1" applyFont="1" applyFill="1" applyBorder="1" applyAlignment="1">
      <alignment horizontal="center" vertical="center"/>
      <protection/>
    </xf>
    <xf numFmtId="0" fontId="48" fillId="37" borderId="33" xfId="68" applyFont="1" applyFill="1" applyBorder="1" applyAlignment="1" applyProtection="1">
      <alignment horizontal="center"/>
      <protection locked="0"/>
    </xf>
    <xf numFmtId="1" fontId="48" fillId="37" borderId="33" xfId="0" applyNumberFormat="1" applyFont="1" applyFill="1" applyBorder="1" applyAlignment="1" applyProtection="1">
      <alignment horizontal="center" vertical="center"/>
      <protection locked="0"/>
    </xf>
    <xf numFmtId="166" fontId="48" fillId="37" borderId="39" xfId="0" applyNumberFormat="1" applyFont="1" applyFill="1" applyBorder="1" applyAlignment="1" applyProtection="1">
      <alignment horizontal="center" vertical="center"/>
      <protection locked="0"/>
    </xf>
    <xf numFmtId="166" fontId="48" fillId="37" borderId="40" xfId="0" applyNumberFormat="1" applyFont="1" applyFill="1" applyBorder="1" applyAlignment="1" applyProtection="1">
      <alignment horizontal="center" vertical="center"/>
      <protection locked="0"/>
    </xf>
    <xf numFmtId="166" fontId="48" fillId="37" borderId="41" xfId="0" applyNumberFormat="1" applyFont="1" applyFill="1" applyBorder="1" applyAlignment="1" applyProtection="1">
      <alignment horizontal="center" vertical="center"/>
      <protection locked="0"/>
    </xf>
    <xf numFmtId="166" fontId="48" fillId="0" borderId="33" xfId="68" applyNumberFormat="1" applyFont="1" applyBorder="1" applyAlignment="1">
      <alignment horizontal="center" vertical="center"/>
      <protection/>
    </xf>
    <xf numFmtId="2" fontId="48" fillId="0" borderId="33" xfId="68" applyNumberFormat="1" applyFont="1" applyBorder="1" applyAlignment="1">
      <alignment horizontal="center" vertical="center"/>
      <protection/>
    </xf>
    <xf numFmtId="0" fontId="48" fillId="0" borderId="33" xfId="68" applyFont="1" applyFill="1" applyBorder="1" applyAlignment="1">
      <alignment horizontal="center" vertical="center"/>
      <protection/>
    </xf>
    <xf numFmtId="1" fontId="48" fillId="0" borderId="20" xfId="0" applyNumberFormat="1" applyFont="1" applyFill="1" applyBorder="1" applyAlignment="1" applyProtection="1">
      <alignment horizontal="center" vertical="center"/>
      <protection/>
    </xf>
    <xf numFmtId="0" fontId="48" fillId="0" borderId="33" xfId="68" applyFont="1" applyFill="1" applyBorder="1" applyAlignment="1">
      <alignment horizontal="center"/>
      <protection/>
    </xf>
    <xf numFmtId="1" fontId="48" fillId="0" borderId="23" xfId="68" applyNumberFormat="1" applyFont="1" applyFill="1" applyBorder="1" applyAlignment="1">
      <alignment horizontal="center" vertical="center"/>
      <protection/>
    </xf>
    <xf numFmtId="0" fontId="49" fillId="36" borderId="42" xfId="67" applyFont="1" applyFill="1" applyBorder="1" applyAlignment="1" applyProtection="1">
      <alignment horizontal="center" vertical="center"/>
      <protection hidden="1"/>
    </xf>
    <xf numFmtId="0" fontId="49" fillId="36" borderId="35" xfId="67" applyFont="1" applyFill="1" applyBorder="1" applyAlignment="1" applyProtection="1">
      <alignment horizontal="center" vertical="center"/>
      <protection hidden="1"/>
    </xf>
    <xf numFmtId="1" fontId="48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4" xfId="68" applyNumberFormat="1" applyFont="1" applyFill="1" applyBorder="1" applyAlignment="1">
      <alignment horizontal="center" vertical="center"/>
      <protection/>
    </xf>
    <xf numFmtId="1" fontId="7" fillId="0" borderId="23" xfId="68" applyNumberFormat="1" applyFont="1" applyFill="1" applyBorder="1" applyAlignment="1">
      <alignment horizontal="center" vertical="center"/>
      <protection/>
    </xf>
    <xf numFmtId="166" fontId="48" fillId="0" borderId="23" xfId="68" applyNumberFormat="1" applyFont="1" applyFill="1" applyBorder="1" applyAlignment="1">
      <alignment horizontal="center" vertical="center"/>
      <protection/>
    </xf>
    <xf numFmtId="1" fontId="48" fillId="0" borderId="15" xfId="0" applyNumberFormat="1" applyFont="1" applyFill="1" applyBorder="1" applyAlignment="1" applyProtection="1">
      <alignment horizontal="center" vertical="center"/>
      <protection/>
    </xf>
    <xf numFmtId="1" fontId="48" fillId="0" borderId="37" xfId="0" applyNumberFormat="1" applyFont="1" applyFill="1" applyBorder="1" applyAlignment="1" applyProtection="1">
      <alignment horizontal="center" vertical="center"/>
      <protection/>
    </xf>
    <xf numFmtId="1" fontId="48" fillId="0" borderId="38" xfId="0" applyNumberFormat="1" applyFont="1" applyFill="1" applyBorder="1" applyAlignment="1" applyProtection="1">
      <alignment horizontal="center" vertical="center"/>
      <protection/>
    </xf>
    <xf numFmtId="166" fontId="48" fillId="37" borderId="16" xfId="68" applyNumberFormat="1" applyFont="1" applyFill="1" applyBorder="1" applyAlignment="1" applyProtection="1">
      <alignment horizontal="center" vertical="center"/>
      <protection locked="0"/>
    </xf>
    <xf numFmtId="166" fontId="48" fillId="37" borderId="0" xfId="68" applyNumberFormat="1" applyFont="1" applyFill="1" applyBorder="1" applyAlignment="1" applyProtection="1">
      <alignment horizontal="center" vertical="center"/>
      <protection locked="0"/>
    </xf>
    <xf numFmtId="166" fontId="48" fillId="37" borderId="34" xfId="68" applyNumberFormat="1" applyFont="1" applyFill="1" applyBorder="1" applyAlignment="1" applyProtection="1">
      <alignment horizontal="center" vertical="center"/>
      <protection locked="0"/>
    </xf>
    <xf numFmtId="166" fontId="48" fillId="37" borderId="23" xfId="68" applyNumberFormat="1" applyFont="1" applyFill="1" applyBorder="1" applyAlignment="1" applyProtection="1">
      <alignment horizontal="center" vertical="center"/>
      <protection locked="0"/>
    </xf>
    <xf numFmtId="166" fontId="48" fillId="37" borderId="17" xfId="68" applyNumberFormat="1" applyFont="1" applyFill="1" applyBorder="1" applyAlignment="1" applyProtection="1">
      <alignment horizontal="center" vertical="center"/>
      <protection locked="0"/>
    </xf>
    <xf numFmtId="166" fontId="48" fillId="37" borderId="35" xfId="68" applyNumberFormat="1" applyFont="1" applyFill="1" applyBorder="1" applyAlignment="1" applyProtection="1">
      <alignment horizontal="center" vertical="center"/>
      <protection locked="0"/>
    </xf>
    <xf numFmtId="166" fontId="48" fillId="37" borderId="36" xfId="68" applyNumberFormat="1" applyFont="1" applyFill="1" applyBorder="1" applyAlignment="1" applyProtection="1">
      <alignment horizontal="center" vertical="center"/>
      <protection locked="0"/>
    </xf>
    <xf numFmtId="166" fontId="48" fillId="37" borderId="21" xfId="68" applyNumberFormat="1" applyFont="1" applyFill="1" applyBorder="1" applyAlignment="1" applyProtection="1">
      <alignment horizontal="center" vertical="center"/>
      <protection locked="0"/>
    </xf>
    <xf numFmtId="166" fontId="48" fillId="0" borderId="21" xfId="68" applyNumberFormat="1" applyFont="1" applyFill="1" applyBorder="1" applyAlignment="1">
      <alignment horizontal="center" vertical="center"/>
      <protection/>
    </xf>
    <xf numFmtId="1" fontId="48" fillId="0" borderId="21" xfId="68" applyNumberFormat="1" applyFont="1" applyFill="1" applyBorder="1" applyAlignment="1">
      <alignment horizontal="center" vertical="center"/>
      <protection/>
    </xf>
    <xf numFmtId="1" fontId="7" fillId="0" borderId="36" xfId="68" applyNumberFormat="1" applyFont="1" applyFill="1" applyBorder="1" applyAlignment="1">
      <alignment horizontal="center" vertical="center"/>
      <protection/>
    </xf>
    <xf numFmtId="1" fontId="7" fillId="0" borderId="21" xfId="68" applyNumberFormat="1" applyFont="1" applyFill="1" applyBorder="1" applyAlignment="1">
      <alignment horizontal="center" vertical="center"/>
      <protection/>
    </xf>
    <xf numFmtId="1" fontId="48" fillId="37" borderId="33" xfId="68" applyNumberFormat="1" applyFont="1" applyFill="1" applyBorder="1" applyAlignment="1" applyProtection="1">
      <alignment horizontal="center" vertical="center"/>
      <protection locked="0"/>
    </xf>
    <xf numFmtId="1" fontId="48" fillId="37" borderId="21" xfId="0" applyNumberFormat="1" applyFont="1" applyFill="1" applyBorder="1" applyAlignment="1" applyProtection="1">
      <alignment horizontal="center" vertical="center"/>
      <protection locked="0"/>
    </xf>
    <xf numFmtId="166" fontId="48" fillId="0" borderId="33" xfId="68" applyNumberFormat="1" applyFont="1" applyFill="1" applyBorder="1" applyAlignment="1">
      <alignment horizontal="center" vertical="center"/>
      <protection/>
    </xf>
    <xf numFmtId="1" fontId="48" fillId="0" borderId="17" xfId="0" applyNumberFormat="1" applyFont="1" applyFill="1" applyBorder="1" applyAlignment="1" applyProtection="1">
      <alignment horizontal="center" vertical="center"/>
      <protection/>
    </xf>
    <xf numFmtId="1" fontId="48" fillId="0" borderId="35" xfId="0" applyNumberFormat="1" applyFont="1" applyFill="1" applyBorder="1" applyAlignment="1" applyProtection="1">
      <alignment horizontal="center" vertical="center"/>
      <protection/>
    </xf>
    <xf numFmtId="1" fontId="48" fillId="0" borderId="36" xfId="0" applyNumberFormat="1" applyFont="1" applyFill="1" applyBorder="1" applyAlignment="1" applyProtection="1">
      <alignment horizontal="center" vertical="center"/>
      <protection/>
    </xf>
    <xf numFmtId="0" fontId="48" fillId="37" borderId="39" xfId="68" applyFont="1" applyFill="1" applyBorder="1" applyAlignment="1" applyProtection="1">
      <alignment horizontal="left"/>
      <protection locked="0"/>
    </xf>
    <xf numFmtId="0" fontId="48" fillId="37" borderId="40" xfId="68" applyFont="1" applyFill="1" applyBorder="1" applyAlignment="1" applyProtection="1">
      <alignment horizontal="left"/>
      <protection locked="0"/>
    </xf>
    <xf numFmtId="0" fontId="48" fillId="37" borderId="41" xfId="68" applyFont="1" applyFill="1" applyBorder="1" applyAlignment="1" applyProtection="1">
      <alignment horizontal="left"/>
      <protection locked="0"/>
    </xf>
    <xf numFmtId="9" fontId="48" fillId="37" borderId="33" xfId="59" applyFont="1" applyFill="1" applyBorder="1" applyAlignment="1" applyProtection="1">
      <alignment horizontal="center" vertical="center"/>
      <protection locked="0"/>
    </xf>
    <xf numFmtId="0" fontId="48" fillId="0" borderId="40" xfId="0" applyFont="1" applyBorder="1" applyAlignment="1" applyProtection="1">
      <alignment/>
      <protection locked="0"/>
    </xf>
    <xf numFmtId="0" fontId="48" fillId="0" borderId="41" xfId="0" applyFont="1" applyBorder="1" applyAlignment="1" applyProtection="1">
      <alignment/>
      <protection locked="0"/>
    </xf>
    <xf numFmtId="0" fontId="7" fillId="34" borderId="5" xfId="67" applyFont="1" applyFill="1" applyBorder="1" applyAlignment="1" applyProtection="1">
      <alignment horizontal="center" vertical="center"/>
      <protection hidden="1"/>
    </xf>
    <xf numFmtId="2" fontId="7" fillId="34" borderId="5" xfId="67" applyNumberFormat="1" applyFont="1" applyFill="1" applyBorder="1" applyAlignment="1" applyProtection="1">
      <alignment horizontal="center" vertical="center"/>
      <protection hidden="1"/>
    </xf>
    <xf numFmtId="0" fontId="48" fillId="0" borderId="40" xfId="0" applyFont="1" applyBorder="1" applyAlignment="1">
      <alignment/>
    </xf>
    <xf numFmtId="0" fontId="48" fillId="0" borderId="41" xfId="0" applyFont="1" applyBorder="1" applyAlignment="1">
      <alignment/>
    </xf>
    <xf numFmtId="0" fontId="49" fillId="36" borderId="5" xfId="67" applyFont="1" applyFill="1" applyBorder="1" applyAlignment="1" applyProtection="1">
      <alignment horizontal="center" vertical="center"/>
      <protection hidden="1"/>
    </xf>
    <xf numFmtId="0" fontId="7" fillId="34" borderId="4" xfId="67" applyFont="1" applyFill="1" applyBorder="1" applyAlignment="1" applyProtection="1">
      <alignment horizontal="center" vertical="center"/>
      <protection hidden="1"/>
    </xf>
    <xf numFmtId="0" fontId="7" fillId="34" borderId="6" xfId="67" applyFont="1" applyFill="1" applyBorder="1" applyAlignment="1" applyProtection="1">
      <alignment horizontal="center" vertical="center"/>
      <protection hidden="1"/>
    </xf>
    <xf numFmtId="0" fontId="7" fillId="34" borderId="43" xfId="67" applyFont="1" applyFill="1" applyBorder="1" applyAlignment="1" applyProtection="1">
      <alignment horizontal="center" vertical="center"/>
      <protection hidden="1"/>
    </xf>
    <xf numFmtId="0" fontId="7" fillId="34" borderId="44" xfId="67" applyFont="1" applyFill="1" applyBorder="1" applyAlignment="1" applyProtection="1">
      <alignment horizontal="center" vertical="center"/>
      <protection hidden="1"/>
    </xf>
    <xf numFmtId="0" fontId="7" fillId="34" borderId="45" xfId="67" applyFont="1" applyFill="1" applyBorder="1" applyAlignment="1" applyProtection="1">
      <alignment horizontal="center" vertical="center"/>
      <protection hidden="1"/>
    </xf>
    <xf numFmtId="0" fontId="7" fillId="34" borderId="46" xfId="67" applyFont="1" applyFill="1" applyBorder="1" applyAlignment="1" applyProtection="1">
      <alignment horizontal="center" vertical="center"/>
      <protection hidden="1"/>
    </xf>
    <xf numFmtId="0" fontId="7" fillId="34" borderId="47" xfId="67" applyFont="1" applyFill="1" applyBorder="1" applyAlignment="1" applyProtection="1">
      <alignment horizontal="center" vertical="center"/>
      <protection hidden="1"/>
    </xf>
    <xf numFmtId="0" fontId="7" fillId="34" borderId="48" xfId="67" applyFont="1" applyFill="1" applyBorder="1" applyAlignment="1" applyProtection="1">
      <alignment horizontal="center" vertical="center"/>
      <protection hidden="1"/>
    </xf>
    <xf numFmtId="0" fontId="7" fillId="39" borderId="5" xfId="67" applyFont="1" applyFill="1" applyBorder="1" applyAlignment="1" applyProtection="1">
      <alignment horizontal="center" vertical="center"/>
      <protection locked="0"/>
    </xf>
    <xf numFmtId="0" fontId="7" fillId="34" borderId="14" xfId="67" applyFont="1" applyFill="1" applyBorder="1" applyAlignment="1" applyProtection="1">
      <alignment horizontal="center" vertical="center"/>
      <protection hidden="1"/>
    </xf>
    <xf numFmtId="0" fontId="6" fillId="36" borderId="49" xfId="56" applyFont="1" applyFill="1" applyBorder="1" applyAlignment="1" applyProtection="1">
      <alignment horizontal="center"/>
      <protection hidden="1"/>
    </xf>
    <xf numFmtId="0" fontId="5" fillId="36" borderId="50" xfId="56" applyFont="1" applyFill="1" applyBorder="1" applyAlignment="1" applyProtection="1">
      <alignment horizontal="center" vertical="top"/>
      <protection hidden="1"/>
    </xf>
    <xf numFmtId="0" fontId="7" fillId="0" borderId="20" xfId="67" applyFont="1" applyFill="1" applyBorder="1" applyAlignment="1" applyProtection="1">
      <alignment horizontal="left" vertical="top"/>
      <protection locked="0"/>
    </xf>
    <xf numFmtId="0" fontId="7" fillId="0" borderId="23" xfId="67" applyFont="1" applyFill="1" applyBorder="1" applyAlignment="1" applyProtection="1">
      <alignment horizontal="left" vertical="top"/>
      <protection locked="0"/>
    </xf>
    <xf numFmtId="0" fontId="7" fillId="0" borderId="21" xfId="67" applyFont="1" applyFill="1" applyBorder="1" applyAlignment="1" applyProtection="1">
      <alignment horizontal="left" vertical="top"/>
      <protection locked="0"/>
    </xf>
    <xf numFmtId="0" fontId="7" fillId="34" borderId="5" xfId="67" applyNumberFormat="1" applyFont="1" applyFill="1" applyBorder="1" applyAlignment="1" applyProtection="1">
      <alignment horizontal="center" vertical="center"/>
      <protection hidden="1"/>
    </xf>
    <xf numFmtId="0" fontId="6" fillId="36" borderId="18" xfId="56" applyFont="1" applyFill="1" applyBorder="1" applyAlignment="1" applyProtection="1">
      <alignment horizontal="center"/>
      <protection hidden="1"/>
    </xf>
    <xf numFmtId="0" fontId="6" fillId="36" borderId="51" xfId="56" applyFont="1" applyFill="1" applyBorder="1" applyAlignment="1" applyProtection="1">
      <alignment horizontal="center"/>
      <protection hidden="1"/>
    </xf>
    <xf numFmtId="0" fontId="7" fillId="39" borderId="18" xfId="67" applyFont="1" applyFill="1" applyBorder="1" applyAlignment="1" applyProtection="1">
      <alignment horizontal="center" vertical="top" wrapText="1"/>
      <protection locked="0"/>
    </xf>
    <xf numFmtId="0" fontId="7" fillId="39" borderId="52" xfId="67" applyFont="1" applyFill="1" applyBorder="1" applyAlignment="1" applyProtection="1">
      <alignment horizontal="center" vertical="top"/>
      <protection locked="0"/>
    </xf>
    <xf numFmtId="0" fontId="7" fillId="39" borderId="22" xfId="67" applyFont="1" applyFill="1" applyBorder="1" applyAlignment="1" applyProtection="1">
      <alignment horizontal="center" vertical="top"/>
      <protection locked="0"/>
    </xf>
    <xf numFmtId="0" fontId="7" fillId="39" borderId="53" xfId="67" applyFont="1" applyFill="1" applyBorder="1" applyAlignment="1" applyProtection="1">
      <alignment horizontal="center" vertical="top"/>
      <protection locked="0"/>
    </xf>
    <xf numFmtId="0" fontId="7" fillId="39" borderId="19" xfId="67" applyFont="1" applyFill="1" applyBorder="1" applyAlignment="1" applyProtection="1">
      <alignment horizontal="center" vertical="top"/>
      <protection locked="0"/>
    </xf>
    <xf numFmtId="0" fontId="7" fillId="39" borderId="54" xfId="67" applyFont="1" applyFill="1" applyBorder="1" applyAlignment="1" applyProtection="1">
      <alignment horizontal="center" vertical="top"/>
      <protection locked="0"/>
    </xf>
    <xf numFmtId="0" fontId="48" fillId="0" borderId="39" xfId="68" applyFont="1" applyFill="1" applyBorder="1" applyAlignment="1">
      <alignment horizontal="center" vertical="center"/>
      <protection/>
    </xf>
    <xf numFmtId="0" fontId="48" fillId="0" borderId="40" xfId="68" applyFont="1" applyFill="1" applyBorder="1" applyAlignment="1">
      <alignment horizontal="center" vertical="center"/>
      <protection/>
    </xf>
    <xf numFmtId="0" fontId="48" fillId="0" borderId="41" xfId="68" applyFont="1" applyFill="1" applyBorder="1" applyAlignment="1">
      <alignment horizontal="center" vertical="center"/>
      <protection/>
    </xf>
    <xf numFmtId="0" fontId="48" fillId="0" borderId="17" xfId="68" applyFont="1" applyFill="1" applyBorder="1" applyAlignment="1">
      <alignment horizontal="center"/>
      <protection/>
    </xf>
    <xf numFmtId="0" fontId="48" fillId="0" borderId="35" xfId="68" applyFont="1" applyFill="1" applyBorder="1" applyAlignment="1">
      <alignment horizontal="center"/>
      <protection/>
    </xf>
    <xf numFmtId="0" fontId="49" fillId="36" borderId="39" xfId="67" applyFont="1" applyFill="1" applyBorder="1" applyAlignment="1" applyProtection="1">
      <alignment horizontal="center" vertical="center"/>
      <protection hidden="1"/>
    </xf>
    <xf numFmtId="0" fontId="49" fillId="36" borderId="40" xfId="67" applyFont="1" applyFill="1" applyBorder="1" applyAlignment="1" applyProtection="1">
      <alignment horizontal="center" vertical="center"/>
      <protection hidden="1"/>
    </xf>
    <xf numFmtId="0" fontId="49" fillId="36" borderId="41" xfId="67" applyFont="1" applyFill="1" applyBorder="1" applyAlignment="1" applyProtection="1">
      <alignment horizontal="center" vertical="center"/>
      <protection hidden="1"/>
    </xf>
    <xf numFmtId="0" fontId="48" fillId="27" borderId="39" xfId="68" applyFont="1" applyFill="1" applyBorder="1" applyAlignment="1" applyProtection="1">
      <alignment horizontal="center"/>
      <protection/>
    </xf>
    <xf numFmtId="0" fontId="48" fillId="27" borderId="40" xfId="68" applyFont="1" applyFill="1" applyBorder="1" applyAlignment="1" applyProtection="1">
      <alignment horizontal="center"/>
      <protection/>
    </xf>
    <xf numFmtId="0" fontId="48" fillId="27" borderId="41" xfId="68" applyFont="1" applyFill="1" applyBorder="1" applyAlignment="1" applyProtection="1">
      <alignment horizontal="center"/>
      <protection/>
    </xf>
    <xf numFmtId="9" fontId="48" fillId="0" borderId="33" xfId="58" applyFont="1" applyBorder="1" applyAlignment="1">
      <alignment horizontal="center" vertical="center"/>
    </xf>
    <xf numFmtId="0" fontId="6" fillId="36" borderId="0" xfId="56" applyFont="1" applyFill="1" applyBorder="1" applyAlignment="1" applyProtection="1">
      <alignment horizontal="center" vertical="center"/>
      <protection hidden="1"/>
    </xf>
    <xf numFmtId="0" fontId="7" fillId="39" borderId="39" xfId="67" applyFont="1" applyFill="1" applyBorder="1" applyAlignment="1" applyProtection="1">
      <alignment horizontal="center" vertical="center"/>
      <protection locked="0"/>
    </xf>
    <xf numFmtId="0" fontId="7" fillId="39" borderId="41" xfId="67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Front Anti-Roll Bars" xfId="44"/>
    <cellStyle name="Front Dampers" xfId="45"/>
    <cellStyle name="Front Ride Height" xfId="46"/>
    <cellStyle name="Front Spring Rate" xfId="47"/>
    <cellStyle name="Insatisfaisant" xfId="48"/>
    <cellStyle name="Hyperlink" xfId="49"/>
    <cellStyle name="Followed Hyperlink" xfId="50"/>
    <cellStyle name="Comma" xfId="51"/>
    <cellStyle name="Comma [0]" xfId="52"/>
    <cellStyle name="Currency" xfId="53"/>
    <cellStyle name="Currency [0]" xfId="54"/>
    <cellStyle name="Neutre" xfId="55"/>
    <cellStyle name="Normal 2" xfId="56"/>
    <cellStyle name="Out Of Range" xfId="57"/>
    <cellStyle name="Percent" xfId="58"/>
    <cellStyle name="Prozent 2" xfId="59"/>
    <cellStyle name="Rear Anti-Roll Bars" xfId="60"/>
    <cellStyle name="Rear Dampers" xfId="61"/>
    <cellStyle name="Rear LSD Decel" xfId="62"/>
    <cellStyle name="Rear Ride Height" xfId="63"/>
    <cellStyle name="Rear Spring Rate" xfId="64"/>
    <cellStyle name="Satisfaisant" xfId="65"/>
    <cellStyle name="Sortie" xfId="66"/>
    <cellStyle name="Standard 2" xfId="67"/>
    <cellStyle name="Standard 2 2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dxfs count="29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u val="none"/>
        <strike val="0"/>
        <sz val="8"/>
        <color indexed="10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>
          <color indexed="63"/>
        </top>
        <bottom style="thin">
          <color indexed="8"/>
        </bottom>
      </border>
    </dxf>
    <dxf>
      <font>
        <b/>
        <i val="0"/>
        <u val="none"/>
        <strike val="0"/>
        <sz val="8"/>
        <color indexed="10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>
          <color indexed="63"/>
        </bottom>
      </border>
    </dxf>
    <dxf>
      <font>
        <b/>
        <i val="0"/>
        <u val="none"/>
        <strike val="0"/>
        <sz val="8"/>
        <color indexed="10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>
          <color indexed="63"/>
        </top>
        <bottom style="thin">
          <color indexed="8"/>
        </bottom>
      </border>
    </dxf>
    <dxf>
      <font>
        <b/>
        <i val="0"/>
        <u val="none"/>
        <strike val="0"/>
        <sz val="8"/>
        <color indexed="10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>
          <color indexed="63"/>
        </bottom>
      </border>
    </dxf>
    <dxf/>
    <dxf/>
    <dxf/>
    <dxf/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u val="none"/>
        <strike val="0"/>
        <sz val="8"/>
        <color indexed="10"/>
      </font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ont>
        <b/>
        <i val="0"/>
        <u val="none"/>
        <strike val="0"/>
        <sz val="8"/>
        <color indexed="10"/>
      </font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ont>
        <b/>
        <i val="0"/>
        <u val="none"/>
        <strike val="0"/>
        <sz val="8"/>
        <color indexed="10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/>
      </border>
    </dxf>
    <dxf>
      <font>
        <b/>
        <i val="0"/>
        <u val="none"/>
        <strike val="0"/>
        <sz val="8"/>
        <color indexed="10"/>
      </font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ont>
        <b/>
        <i val="0"/>
        <u val="none"/>
        <strike val="0"/>
        <sz val="8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/>
      </border>
    </dxf>
    <dxf/>
    <dxf>
      <font>
        <b/>
        <i val="0"/>
        <u val="none"/>
        <strike val="0"/>
        <sz val="8"/>
        <color rgb="FFFF0000"/>
      </font>
      <border>
        <left style="thin">
          <color rgb="FF000000"/>
        </left>
        <right style="thin">
          <color rgb="FF000000"/>
        </right>
        <top style="thin"/>
        <bottom>
          <color rgb="FF000000"/>
        </bottom>
      </border>
    </dxf>
    <dxf>
      <font>
        <b/>
        <i val="0"/>
        <u val="none"/>
        <strike val="0"/>
        <sz val="8"/>
        <color rgb="FFFF0000"/>
      </font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/>
        <i val="0"/>
        <u val="none"/>
        <strike val="0"/>
        <sz val="8"/>
        <color rgb="FFFF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/>
    </dxf>
    <dxf>
      <font>
        <b/>
        <i val="0"/>
        <u val="none"/>
        <strike val="0"/>
        <sz val="8"/>
        <color rgb="FFFF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  <u val="none"/>
        <strike val="0"/>
        <sz val="8"/>
        <color rgb="FFFF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-0.008"/>
          <c:w val="0.92475"/>
          <c:h val="0.73075"/>
        </c:manualLayout>
      </c:layout>
      <c:scatterChart>
        <c:scatterStyle val="lineMarker"/>
        <c:varyColors val="0"/>
        <c:ser>
          <c:idx val="0"/>
          <c:order val="0"/>
          <c:tx>
            <c:v>Courbe Boite de Vitesse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'QT MODIF STF1900'!$AI$5:$AX$5</c:f>
              <c:numCache/>
            </c:numRef>
          </c:xVal>
          <c:yVal>
            <c:numRef>
              <c:f>'QT MODIF STF1900'!$AI$6:$AX$6</c:f>
              <c:numCache/>
            </c:numRef>
          </c:yVal>
          <c:smooth val="0"/>
        </c:ser>
        <c:ser>
          <c:idx val="1"/>
          <c:order val="1"/>
          <c:tx>
            <c:v>Zone rouge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'QT MODIF STF1900'!$AI$7:$AX$7</c:f>
              <c:numCache/>
            </c:numRef>
          </c:xVal>
          <c:yVal>
            <c:numRef>
              <c:f>'QT MODIF STF1900'!$AI$8:$AX$8</c:f>
              <c:numCache/>
            </c:numRef>
          </c:yVal>
          <c:smooth val="0"/>
        </c:ser>
        <c:ser>
          <c:idx val="2"/>
          <c:order val="2"/>
          <c:tx>
            <c:v>Couple maxi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'QT MODIF STF1900'!$AI$7:$AX$7</c:f>
              <c:numCache/>
            </c:numRef>
          </c:xVal>
          <c:yVal>
            <c:numRef>
              <c:f>'QT MODIF STF1900'!$AI$9:$AX$9</c:f>
              <c:numCache/>
            </c:numRef>
          </c:yVal>
          <c:smooth val="0"/>
        </c:ser>
        <c:ser>
          <c:idx val="3"/>
          <c:order val="3"/>
          <c:tx>
            <c:v>Courbe Boite Vitesse Corr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'QT MODIF STF1900'!$AI$11:$AX$11</c:f>
              <c:numCache/>
            </c:numRef>
          </c:xVal>
          <c:yVal>
            <c:numRef>
              <c:f>'QT MODIF STF1900'!$AI$12:$AX$12</c:f>
              <c:numCache/>
            </c:numRef>
          </c:yVal>
          <c:smooth val="0"/>
        </c:ser>
        <c:axId val="55292566"/>
        <c:axId val="27871047"/>
      </c:scatterChart>
      <c:valAx>
        <c:axId val="5529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Vitesse (km/h)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71047"/>
        <c:crosses val="autoZero"/>
        <c:crossBetween val="midCat"/>
        <c:dispUnits/>
      </c:valAx>
      <c:valAx>
        <c:axId val="27871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Régime Moteur (Tr/Min)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925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25"/>
          <c:y val="0.82825"/>
          <c:w val="0.6317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-0.006"/>
          <c:w val="0.9255"/>
          <c:h val="0.855"/>
        </c:manualLayout>
      </c:layout>
      <c:scatterChart>
        <c:scatterStyle val="lineMarker"/>
        <c:varyColors val="0"/>
        <c:ser>
          <c:idx val="0"/>
          <c:order val="0"/>
          <c:tx>
            <c:v>Courbe Boite de Vitesse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'Fiche Recapitualtive Voiture'!$G$43:$V$43</c:f>
              <c:numCache/>
            </c:numRef>
          </c:xVal>
          <c:yVal>
            <c:numRef>
              <c:f>'Fiche Recapitualtive Voiture'!$G$44:$V$44</c:f>
              <c:numCache/>
            </c:numRef>
          </c:yVal>
          <c:smooth val="0"/>
        </c:ser>
        <c:ser>
          <c:idx val="1"/>
          <c:order val="1"/>
          <c:tx>
            <c:v>Zone rouge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'Fiche Recapitualtive Voiture'!$G$45:$V$45</c:f>
              <c:numCache/>
            </c:numRef>
          </c:xVal>
          <c:yVal>
            <c:numRef>
              <c:f>'Fiche Recapitualtive Voiture'!$G$46:$V$46</c:f>
              <c:numCache/>
            </c:numRef>
          </c:yVal>
          <c:smooth val="0"/>
        </c:ser>
        <c:ser>
          <c:idx val="2"/>
          <c:order val="2"/>
          <c:tx>
            <c:v>Couple maxi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'Fiche Recapitualtive Voiture'!$G$45:$V$45</c:f>
              <c:numCache/>
            </c:numRef>
          </c:xVal>
          <c:yVal>
            <c:numRef>
              <c:f>'Fiche Recapitualtive Voiture'!$G$47:$V$47</c:f>
              <c:numCache/>
            </c:numRef>
          </c:yVal>
          <c:smooth val="0"/>
        </c:ser>
        <c:axId val="49512832"/>
        <c:axId val="42962305"/>
      </c:scatterChart>
      <c:valAx>
        <c:axId val="4951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Vitesse (km/h)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62305"/>
        <c:crosses val="autoZero"/>
        <c:crossBetween val="midCat"/>
        <c:dispUnits/>
      </c:valAx>
      <c:valAx>
        <c:axId val="4296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Régime Moteur (Tr/Min)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128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125"/>
          <c:y val="0.92725"/>
          <c:w val="0.7737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1</xdr:row>
      <xdr:rowOff>66675</xdr:rowOff>
    </xdr:from>
    <xdr:to>
      <xdr:col>53</xdr:col>
      <xdr:colOff>152400</xdr:colOff>
      <xdr:row>19</xdr:row>
      <xdr:rowOff>66675</xdr:rowOff>
    </xdr:to>
    <xdr:graphicFrame>
      <xdr:nvGraphicFramePr>
        <xdr:cNvPr id="1" name="Graphique 2"/>
        <xdr:cNvGraphicFramePr/>
      </xdr:nvGraphicFramePr>
      <xdr:xfrm>
        <a:off x="11153775" y="228600"/>
        <a:ext cx="5257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37</xdr:row>
      <xdr:rowOff>66675</xdr:rowOff>
    </xdr:from>
    <xdr:to>
      <xdr:col>25</xdr:col>
      <xdr:colOff>171450</xdr:colOff>
      <xdr:row>61</xdr:row>
      <xdr:rowOff>66675</xdr:rowOff>
    </xdr:to>
    <xdr:graphicFrame>
      <xdr:nvGraphicFramePr>
        <xdr:cNvPr id="1" name="Graphique 2"/>
        <xdr:cNvGraphicFramePr/>
      </xdr:nvGraphicFramePr>
      <xdr:xfrm>
        <a:off x="3238500" y="6057900"/>
        <a:ext cx="5305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2"/>
  <sheetViews>
    <sheetView tabSelected="1" zoomScale="110" zoomScaleNormal="110" zoomScalePageLayoutView="0" workbookViewId="0" topLeftCell="A1">
      <selection activeCell="B7" sqref="B7:D7"/>
    </sheetView>
  </sheetViews>
  <sheetFormatPr defaultColWidth="11.421875" defaultRowHeight="12.75" customHeight="1"/>
  <cols>
    <col min="1" max="1" width="2.8515625" style="29" customWidth="1"/>
    <col min="2" max="2" width="8.421875" style="29" customWidth="1"/>
    <col min="3" max="3" width="36.28125" style="29" customWidth="1"/>
    <col min="4" max="4" width="8.421875" style="29" customWidth="1"/>
    <col min="5" max="5" width="2.8515625" style="29" customWidth="1"/>
    <col min="6" max="6" width="32.28125" style="29" customWidth="1"/>
    <col min="7" max="7" width="7.8515625" style="29" customWidth="1"/>
    <col min="8" max="8" width="2.8515625" style="58" hidden="1" customWidth="1"/>
    <col min="9" max="11" width="6.7109375" style="29" hidden="1" customWidth="1"/>
    <col min="12" max="12" width="2.8515625" style="29" hidden="1" customWidth="1"/>
    <col min="13" max="13" width="28.57421875" style="29" hidden="1" customWidth="1"/>
    <col min="14" max="14" width="7.7109375" style="29" hidden="1" customWidth="1"/>
    <col min="15" max="15" width="3.7109375" style="64" customWidth="1"/>
    <col min="16" max="57" width="3.7109375" style="6" customWidth="1"/>
    <col min="58" max="58" width="55.140625" style="108" customWidth="1"/>
    <col min="59" max="59" width="3.7109375" style="6" customWidth="1"/>
    <col min="60" max="16384" width="11.421875" style="6" customWidth="1"/>
  </cols>
  <sheetData>
    <row r="1" spans="1:55" ht="12.75" customHeight="1">
      <c r="A1" s="81"/>
      <c r="B1" s="82"/>
      <c r="C1" s="82"/>
      <c r="D1" s="82"/>
      <c r="E1" s="83"/>
      <c r="F1" s="82"/>
      <c r="G1" s="82"/>
      <c r="H1" s="84"/>
      <c r="I1" s="82"/>
      <c r="J1" s="82"/>
      <c r="K1" s="82"/>
      <c r="L1" s="82"/>
      <c r="M1" s="85"/>
      <c r="N1" s="85"/>
      <c r="O1" s="86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8"/>
    </row>
    <row r="2" spans="1:58" ht="12.75" customHeight="1">
      <c r="A2" s="89"/>
      <c r="B2" s="246" t="s">
        <v>0</v>
      </c>
      <c r="C2" s="246"/>
      <c r="D2" s="246"/>
      <c r="E2" s="3"/>
      <c r="F2" s="7" t="s">
        <v>1</v>
      </c>
      <c r="G2" s="8" t="str">
        <f aca="true" t="shared" si="0" ref="G2:G12">IF($D$14="FF",I2,IF($D$14="4WD",K2,J2))</f>
        <v>RWD</v>
      </c>
      <c r="H2" s="9"/>
      <c r="I2" s="8" t="s">
        <v>93</v>
      </c>
      <c r="J2" s="8" t="s">
        <v>94</v>
      </c>
      <c r="K2" s="8" t="s">
        <v>95</v>
      </c>
      <c r="L2" s="10"/>
      <c r="M2" s="3" t="s">
        <v>2</v>
      </c>
      <c r="N2" s="3"/>
      <c r="O2" s="5"/>
      <c r="P2" s="171" t="s">
        <v>134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90"/>
      <c r="BF2" s="111" t="s">
        <v>169</v>
      </c>
    </row>
    <row r="3" spans="1:58" ht="12.75" customHeight="1">
      <c r="A3" s="89"/>
      <c r="B3" s="246"/>
      <c r="C3" s="246"/>
      <c r="D3" s="246"/>
      <c r="E3" s="3"/>
      <c r="F3" s="11" t="s">
        <v>97</v>
      </c>
      <c r="G3" s="12">
        <f t="shared" si="0"/>
        <v>98</v>
      </c>
      <c r="H3" s="9"/>
      <c r="I3" s="13">
        <f>MAX(ROUND(D17+(D18-D17)*N4+(D18-D17)*N3/20,0),D17)</f>
        <v>98</v>
      </c>
      <c r="J3" s="13">
        <f>MAX(ROUND(D17+(D18-D17)*N4+(D18-D17)*N3/20,0),D17)</f>
        <v>98</v>
      </c>
      <c r="K3" s="13">
        <f>MAX(ROUND(D17+(D18-D17)*N4+(D18-D17)*N3/20,0),D17)</f>
        <v>98</v>
      </c>
      <c r="L3" s="10"/>
      <c r="M3" s="14" t="s">
        <v>3</v>
      </c>
      <c r="N3" s="3">
        <f>AVERAGE(D30,D31)</f>
        <v>-1.5</v>
      </c>
      <c r="O3" s="5"/>
      <c r="P3" s="169" t="s">
        <v>76</v>
      </c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2">
        <v>5</v>
      </c>
      <c r="AD3" s="173"/>
      <c r="AE3" s="174"/>
      <c r="AF3" s="15"/>
      <c r="AG3" s="15"/>
      <c r="AH3" s="16" t="s">
        <v>52</v>
      </c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23"/>
      <c r="AZ3" s="23"/>
      <c r="BA3" s="23"/>
      <c r="BB3" s="23"/>
      <c r="BC3" s="90"/>
      <c r="BF3" s="112"/>
    </row>
    <row r="4" spans="1:55" ht="12.75" customHeight="1">
      <c r="A4" s="89"/>
      <c r="B4" s="247" t="s">
        <v>96</v>
      </c>
      <c r="C4" s="247"/>
      <c r="D4" s="247"/>
      <c r="E4" s="17"/>
      <c r="F4" s="18" t="s">
        <v>98</v>
      </c>
      <c r="G4" s="19">
        <f t="shared" si="0"/>
        <v>109</v>
      </c>
      <c r="H4" s="20"/>
      <c r="I4" s="19">
        <f>MAX(ROUND(D19+(D20-D19)*N4-(D20-D19)*N3/20,0),D19)</f>
        <v>109</v>
      </c>
      <c r="J4" s="19">
        <f>MAX(ROUND(D19+(D20-D19)*N4-(D20-D19)*N3/20,0),D19)</f>
        <v>109</v>
      </c>
      <c r="K4" s="19">
        <f>MAX(ROUND(D19+(D20-D19)*N4-(D20-D19)*N3/20,0),D19)</f>
        <v>109</v>
      </c>
      <c r="L4" s="21"/>
      <c r="M4" s="14" t="s">
        <v>4</v>
      </c>
      <c r="N4" s="22">
        <f>0.75-0.15*D29</f>
        <v>0.45</v>
      </c>
      <c r="O4" s="5"/>
      <c r="P4" s="169" t="s">
        <v>64</v>
      </c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75">
        <v>8200</v>
      </c>
      <c r="AD4" s="176"/>
      <c r="AE4" s="177"/>
      <c r="AF4" s="23"/>
      <c r="AG4" s="23"/>
      <c r="AH4" s="16"/>
      <c r="AI4" s="24">
        <v>1</v>
      </c>
      <c r="AJ4" s="24">
        <v>1</v>
      </c>
      <c r="AK4" s="24">
        <v>2</v>
      </c>
      <c r="AL4" s="24">
        <v>2</v>
      </c>
      <c r="AM4" s="24">
        <v>3</v>
      </c>
      <c r="AN4" s="24">
        <v>3</v>
      </c>
      <c r="AO4" s="24">
        <v>4</v>
      </c>
      <c r="AP4" s="24">
        <v>4</v>
      </c>
      <c r="AQ4" s="24">
        <v>5</v>
      </c>
      <c r="AR4" s="24">
        <v>5</v>
      </c>
      <c r="AS4" s="24">
        <v>6</v>
      </c>
      <c r="AT4" s="24">
        <v>6</v>
      </c>
      <c r="AU4" s="24">
        <v>7</v>
      </c>
      <c r="AV4" s="24">
        <v>7</v>
      </c>
      <c r="AW4" s="24">
        <v>8</v>
      </c>
      <c r="AX4" s="24">
        <v>8</v>
      </c>
      <c r="AY4" s="23"/>
      <c r="AZ4" s="15"/>
      <c r="BA4" s="23"/>
      <c r="BB4" s="23"/>
      <c r="BC4" s="90"/>
    </row>
    <row r="5" spans="1:58" ht="12.75" customHeight="1">
      <c r="A5" s="89"/>
      <c r="B5" s="91"/>
      <c r="C5" s="91"/>
      <c r="D5" s="91"/>
      <c r="E5" s="91"/>
      <c r="F5" s="11" t="s">
        <v>99</v>
      </c>
      <c r="G5" s="26">
        <f t="shared" si="0"/>
        <v>5.81</v>
      </c>
      <c r="H5" s="20"/>
      <c r="I5" s="26">
        <f>MAX(ROUND(D21/AVERAGE(D21,D24)*N6*IF(D42="N",(N3-20)/-20,(N3+20)/20),2),D22)</f>
        <v>5.81</v>
      </c>
      <c r="J5" s="26">
        <f>MAX(ROUND(D21/AVERAGE(D21,D24)*N6*IF(D42="N",(N3-20)/-20,(N3+20)/20),2),D22)</f>
        <v>5.81</v>
      </c>
      <c r="K5" s="26">
        <f>MAX(ROUND(D21/AVERAGE(D21,D24)*N6*IF(D42="N",(N3-20)/-20,(N3+20)/20),2),D22)</f>
        <v>5.81</v>
      </c>
      <c r="L5" s="21"/>
      <c r="M5" s="14" t="s">
        <v>5</v>
      </c>
      <c r="N5" s="22">
        <f>D29/6</f>
        <v>0.3333333333333333</v>
      </c>
      <c r="O5" s="5"/>
      <c r="P5" s="169" t="s">
        <v>65</v>
      </c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75">
        <v>5800</v>
      </c>
      <c r="AD5" s="176"/>
      <c r="AE5" s="177"/>
      <c r="AF5" s="23"/>
      <c r="AG5" s="23"/>
      <c r="AH5" s="16" t="s">
        <v>53</v>
      </c>
      <c r="AI5" s="27">
        <v>0</v>
      </c>
      <c r="AJ5" s="27">
        <f ca="1">IF($AC$3&lt;AJ4,AI5,OFFSET($Z$25,AJ4-1,0))</f>
        <v>95.71157318746639</v>
      </c>
      <c r="AK5" s="27">
        <f>AJ5</f>
        <v>95.71157318746639</v>
      </c>
      <c r="AL5" s="27">
        <f ca="1">IF($AC$3&lt;AL4,AK5,OFFSET($Z$25,AL4-1,0))</f>
        <v>125.30467671958439</v>
      </c>
      <c r="AM5" s="27">
        <f>AL5</f>
        <v>125.30467671958439</v>
      </c>
      <c r="AN5" s="27">
        <f ca="1">IF($AC$3&lt;AN4,AM5,OFFSET($Z$25,AN4-1,0))</f>
        <v>159.81056983879324</v>
      </c>
      <c r="AO5" s="27">
        <f>AN5</f>
        <v>159.81056983879324</v>
      </c>
      <c r="AP5" s="27">
        <f ca="1">IF($AC$3&lt;AP4,AO5,OFFSET($Z$25,AP4-1,0))</f>
        <v>197.75197277942056</v>
      </c>
      <c r="AQ5" s="27">
        <f>AP5</f>
        <v>197.75197277942056</v>
      </c>
      <c r="AR5" s="27">
        <f ca="1">IF($AC$3&lt;AR4,AQ5,OFFSET($Z$25,AR4-1,0))</f>
        <v>239.99693252653913</v>
      </c>
      <c r="AS5" s="27">
        <f>AR5</f>
        <v>239.99693252653913</v>
      </c>
      <c r="AT5" s="27">
        <f ca="1">IF($AC$3&lt;AT4,AS5,OFFSET($Z$25,AT4-1,0))</f>
        <v>239.99693252653913</v>
      </c>
      <c r="AU5" s="27">
        <f>AT5</f>
        <v>239.99693252653913</v>
      </c>
      <c r="AV5" s="27">
        <f ca="1">IF($AC$3&lt;AV4,AU5,OFFSET($Z$25,AV4-1,0))</f>
        <v>239.99693252653913</v>
      </c>
      <c r="AW5" s="27">
        <f>AV5</f>
        <v>239.99693252653913</v>
      </c>
      <c r="AX5" s="27">
        <f ca="1">IF($AC$3&lt;AX4,AW5,OFFSET($Z$25,AX4-1,0))</f>
        <v>239.99693252653913</v>
      </c>
      <c r="AY5" s="23"/>
      <c r="AZ5" s="15"/>
      <c r="BA5" s="23"/>
      <c r="BB5" s="23"/>
      <c r="BC5" s="90"/>
      <c r="BF5" s="113" t="s">
        <v>159</v>
      </c>
    </row>
    <row r="6" spans="1:58" ht="12.75" customHeight="1">
      <c r="A6" s="89"/>
      <c r="B6" s="235" t="s">
        <v>131</v>
      </c>
      <c r="C6" s="235"/>
      <c r="D6" s="235"/>
      <c r="E6" s="91"/>
      <c r="F6" s="18" t="s">
        <v>100</v>
      </c>
      <c r="G6" s="28">
        <f t="shared" si="0"/>
        <v>7.26</v>
      </c>
      <c r="H6" s="9"/>
      <c r="I6" s="28">
        <f>MAX(ROUND(D24/AVERAGE(D21,D24)*N6*IF(D42="N",(N3+20)/+20,(N3-20)/-20),2),D25)</f>
        <v>7.26</v>
      </c>
      <c r="J6" s="28">
        <f>MAX(ROUND(D24/AVERAGE(D21,D24)*N6*IF(D42="N",(N3+20)/+20,(N3-20)/-20),2),D25)</f>
        <v>7.26</v>
      </c>
      <c r="K6" s="28">
        <f>MAX(ROUND(D24/AVERAGE(D21,D24)*N6*IF(D42="N",(N3+20)/+20,(N3-20)/-20),2),D25)</f>
        <v>7.26</v>
      </c>
      <c r="L6" s="10"/>
      <c r="M6" s="14" t="s">
        <v>6</v>
      </c>
      <c r="N6" s="14">
        <f>AVERAGE(D22+N5*(D23-D22),D25+N5*(D26-D25))</f>
        <v>6.625</v>
      </c>
      <c r="O6" s="5"/>
      <c r="P6" s="169" t="s">
        <v>73</v>
      </c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>
        <v>8300</v>
      </c>
      <c r="AD6" s="170"/>
      <c r="AE6" s="170"/>
      <c r="AF6" s="23"/>
      <c r="AG6" s="23"/>
      <c r="AH6" s="16" t="s">
        <v>54</v>
      </c>
      <c r="AI6" s="24">
        <v>0</v>
      </c>
      <c r="AJ6" s="65">
        <f>IF(AJ$4&lt;$AC$3,$AC$4,$AC$6)</f>
        <v>8200</v>
      </c>
      <c r="AK6" s="65">
        <f ca="1">IF(AK$4&lt;=$AC$3,OFFSET($AC$25,AK4-1,0),AJ6)</f>
        <v>6263.412672885172</v>
      </c>
      <c r="AL6" s="65">
        <f>IF(AL$4&lt;$AC$3,$AC$4,$AC$6)</f>
        <v>8200</v>
      </c>
      <c r="AM6" s="65">
        <f ca="1">IF(AM$4&lt;=$AC$3,OFFSET($AC$25,AM4-1,0),AL6)</f>
        <v>6429.476787030215</v>
      </c>
      <c r="AN6" s="65">
        <f>IF(AN$4&lt;$AC$3,$AC$4,$AC$6)</f>
        <v>8200</v>
      </c>
      <c r="AO6" s="65">
        <f ca="1">IF(AO$4&lt;=$AC$3,OFFSET($AC$25,AO4-1,0),AN6)</f>
        <v>6626.71858216971</v>
      </c>
      <c r="AP6" s="65">
        <f>IF(AP$4&lt;$AC$3,$AC$4,$AC$6)</f>
        <v>8200</v>
      </c>
      <c r="AQ6" s="65">
        <f ca="1">IF(AQ$4&lt;=$AC$3,OFFSET($AC$25,AQ4-1,0),AP6)</f>
        <v>6839.00980229274</v>
      </c>
      <c r="AR6" s="65">
        <f>IF(AR$4&lt;$AC$3,$AC$4,$AC$6)</f>
        <v>8300</v>
      </c>
      <c r="AS6" s="65">
        <f ca="1">IF(AS$4&lt;=$AC$3,OFFSET($AC$25,AS4-1,0),AR6)</f>
        <v>8300</v>
      </c>
      <c r="AT6" s="65">
        <f>IF(AT$4&lt;$AC$3,$AC$4,$AC$6)</f>
        <v>8300</v>
      </c>
      <c r="AU6" s="65">
        <f ca="1">IF(AU$4&lt;=$AC$3,OFFSET($AC$25,AU4-1,0),AT6)</f>
        <v>8300</v>
      </c>
      <c r="AV6" s="65">
        <f>IF(AV$4&lt;$AC$3,$AC$4,$AC$6)</f>
        <v>8300</v>
      </c>
      <c r="AW6" s="65">
        <f ca="1">IF(AW$4&lt;=$AC$3,OFFSET($AC$25,AW4-1,0),AV6)</f>
        <v>8300</v>
      </c>
      <c r="AX6" s="65">
        <f>IF(AX$4&lt;$AC$3,$AC$4,$AC$6)</f>
        <v>8300</v>
      </c>
      <c r="AY6" s="23"/>
      <c r="AZ6" s="15"/>
      <c r="BA6" s="23"/>
      <c r="BB6" s="23"/>
      <c r="BC6" s="90"/>
      <c r="BF6" s="114" t="str">
        <f>$B$7</f>
        <v>Ferrari Dino 246 - 450PP</v>
      </c>
    </row>
    <row r="7" spans="1:58" ht="12.75" customHeight="1">
      <c r="A7" s="89"/>
      <c r="B7" s="244" t="s">
        <v>140</v>
      </c>
      <c r="C7" s="244"/>
      <c r="D7" s="244"/>
      <c r="E7" s="1"/>
      <c r="F7" s="11" t="s">
        <v>101</v>
      </c>
      <c r="G7" s="13">
        <f t="shared" si="0"/>
        <v>6</v>
      </c>
      <c r="H7" s="9"/>
      <c r="I7" s="13">
        <f>ROUND(N7,0)</f>
        <v>6</v>
      </c>
      <c r="J7" s="13">
        <f>ROUND(N7,0)</f>
        <v>6</v>
      </c>
      <c r="K7" s="13">
        <f>ROUND(N7,0)</f>
        <v>6</v>
      </c>
      <c r="L7" s="10"/>
      <c r="M7" s="14" t="s">
        <v>7</v>
      </c>
      <c r="N7" s="3">
        <f>ROUND(4.465*LN(D29+1)+1,0)</f>
        <v>6</v>
      </c>
      <c r="O7" s="5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16" t="s">
        <v>53</v>
      </c>
      <c r="AI7" s="92">
        <f>MAX(AI5,AI11)</f>
        <v>0</v>
      </c>
      <c r="AJ7" s="93">
        <f aca="true" t="shared" si="1" ref="AJ7:AX7">MAX(AJ5,AJ11)</f>
        <v>95.71157318746639</v>
      </c>
      <c r="AK7" s="93">
        <f t="shared" si="1"/>
        <v>95.71157318746639</v>
      </c>
      <c r="AL7" s="93">
        <f t="shared" si="1"/>
        <v>125.30467671958439</v>
      </c>
      <c r="AM7" s="93">
        <f t="shared" si="1"/>
        <v>125.30467671958439</v>
      </c>
      <c r="AN7" s="93">
        <f t="shared" si="1"/>
        <v>159.81056983879324</v>
      </c>
      <c r="AO7" s="93">
        <f t="shared" si="1"/>
        <v>159.81056983879324</v>
      </c>
      <c r="AP7" s="93">
        <f t="shared" si="1"/>
        <v>197.75197277942056</v>
      </c>
      <c r="AQ7" s="93">
        <f t="shared" si="1"/>
        <v>197.75197277942056</v>
      </c>
      <c r="AR7" s="93">
        <f t="shared" si="1"/>
        <v>239.99693252653913</v>
      </c>
      <c r="AS7" s="93">
        <f t="shared" si="1"/>
        <v>239.99693252653913</v>
      </c>
      <c r="AT7" s="93">
        <f t="shared" si="1"/>
        <v>239.99693252653913</v>
      </c>
      <c r="AU7" s="93">
        <f t="shared" si="1"/>
        <v>239.99693252653913</v>
      </c>
      <c r="AV7" s="93">
        <f t="shared" si="1"/>
        <v>239.99693252653913</v>
      </c>
      <c r="AW7" s="93">
        <f t="shared" si="1"/>
        <v>239.99693252653913</v>
      </c>
      <c r="AX7" s="93">
        <f t="shared" si="1"/>
        <v>239.99693252653913</v>
      </c>
      <c r="AY7" s="23"/>
      <c r="AZ7" s="15"/>
      <c r="BA7" s="23"/>
      <c r="BB7" s="23"/>
      <c r="BC7" s="90"/>
      <c r="BF7" s="110"/>
    </row>
    <row r="8" spans="1:58" ht="12.75" customHeight="1">
      <c r="A8" s="89"/>
      <c r="B8" s="94"/>
      <c r="C8" s="94"/>
      <c r="D8" s="94"/>
      <c r="E8" s="1"/>
      <c r="F8" s="18" t="s">
        <v>102</v>
      </c>
      <c r="G8" s="19">
        <f t="shared" si="0"/>
        <v>6</v>
      </c>
      <c r="H8" s="9"/>
      <c r="I8" s="19">
        <f>ROUND(N7,0)</f>
        <v>6</v>
      </c>
      <c r="J8" s="19">
        <f>ROUND(N7,0)</f>
        <v>6</v>
      </c>
      <c r="K8" s="19">
        <f>ROUND(N7,0)</f>
        <v>6</v>
      </c>
      <c r="L8" s="10"/>
      <c r="M8" s="14" t="s">
        <v>8</v>
      </c>
      <c r="N8" s="3">
        <f>D29+1</f>
        <v>3</v>
      </c>
      <c r="O8" s="5"/>
      <c r="P8" s="171" t="s">
        <v>135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23"/>
      <c r="AG8" s="23"/>
      <c r="AH8" s="16" t="s">
        <v>55</v>
      </c>
      <c r="AI8" s="30">
        <f aca="true" t="shared" si="2" ref="AI8:AX8">$AC$4</f>
        <v>8200</v>
      </c>
      <c r="AJ8" s="65">
        <f t="shared" si="2"/>
        <v>8200</v>
      </c>
      <c r="AK8" s="65">
        <f t="shared" si="2"/>
        <v>8200</v>
      </c>
      <c r="AL8" s="65">
        <f t="shared" si="2"/>
        <v>8200</v>
      </c>
      <c r="AM8" s="65">
        <f t="shared" si="2"/>
        <v>8200</v>
      </c>
      <c r="AN8" s="65">
        <f t="shared" si="2"/>
        <v>8200</v>
      </c>
      <c r="AO8" s="65">
        <f t="shared" si="2"/>
        <v>8200</v>
      </c>
      <c r="AP8" s="65">
        <f t="shared" si="2"/>
        <v>8200</v>
      </c>
      <c r="AQ8" s="65">
        <f t="shared" si="2"/>
        <v>8200</v>
      </c>
      <c r="AR8" s="65">
        <f t="shared" si="2"/>
        <v>8200</v>
      </c>
      <c r="AS8" s="65">
        <f t="shared" si="2"/>
        <v>8200</v>
      </c>
      <c r="AT8" s="65">
        <f t="shared" si="2"/>
        <v>8200</v>
      </c>
      <c r="AU8" s="65">
        <f t="shared" si="2"/>
        <v>8200</v>
      </c>
      <c r="AV8" s="65">
        <f t="shared" si="2"/>
        <v>8200</v>
      </c>
      <c r="AW8" s="65">
        <f t="shared" si="2"/>
        <v>8200</v>
      </c>
      <c r="AX8" s="65">
        <f t="shared" si="2"/>
        <v>8200</v>
      </c>
      <c r="AY8" s="23"/>
      <c r="AZ8" s="23"/>
      <c r="BA8" s="23"/>
      <c r="BB8" s="23"/>
      <c r="BC8" s="90"/>
      <c r="BF8" s="113" t="s">
        <v>160</v>
      </c>
    </row>
    <row r="9" spans="1:58" ht="12.75" customHeight="1">
      <c r="A9" s="89"/>
      <c r="B9" s="235" t="s">
        <v>130</v>
      </c>
      <c r="C9" s="235"/>
      <c r="D9" s="235"/>
      <c r="E9" s="1"/>
      <c r="F9" s="11" t="s">
        <v>103</v>
      </c>
      <c r="G9" s="13">
        <f t="shared" si="0"/>
        <v>6</v>
      </c>
      <c r="H9" s="9"/>
      <c r="I9" s="13">
        <f>ROUND(FLOOR(N16*N7*2,0.2),0)</f>
        <v>6</v>
      </c>
      <c r="J9" s="13">
        <f>ROUND(FLOOR(N16*N7*2,0.2),0)</f>
        <v>6</v>
      </c>
      <c r="K9" s="13">
        <f>ROUND(FLOOR(N16*N7*2,0.2),0)</f>
        <v>6</v>
      </c>
      <c r="L9" s="10"/>
      <c r="M9" s="3" t="s">
        <v>10</v>
      </c>
      <c r="N9" s="31">
        <f>D12/N14</f>
        <v>4.123573652534662</v>
      </c>
      <c r="O9" s="5"/>
      <c r="P9" s="169" t="s">
        <v>69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78">
        <v>2.5</v>
      </c>
      <c r="AD9" s="179"/>
      <c r="AE9" s="180"/>
      <c r="AF9" s="23"/>
      <c r="AG9" s="23"/>
      <c r="AH9" s="16" t="s">
        <v>56</v>
      </c>
      <c r="AI9" s="30">
        <f aca="true" t="shared" si="3" ref="AI9:AX9">$AC$5</f>
        <v>5800</v>
      </c>
      <c r="AJ9" s="65">
        <f t="shared" si="3"/>
        <v>5800</v>
      </c>
      <c r="AK9" s="65">
        <f t="shared" si="3"/>
        <v>5800</v>
      </c>
      <c r="AL9" s="65">
        <f t="shared" si="3"/>
        <v>5800</v>
      </c>
      <c r="AM9" s="65">
        <f t="shared" si="3"/>
        <v>5800</v>
      </c>
      <c r="AN9" s="65">
        <f t="shared" si="3"/>
        <v>5800</v>
      </c>
      <c r="AO9" s="65">
        <f t="shared" si="3"/>
        <v>5800</v>
      </c>
      <c r="AP9" s="65">
        <f t="shared" si="3"/>
        <v>5800</v>
      </c>
      <c r="AQ9" s="65">
        <f t="shared" si="3"/>
        <v>5800</v>
      </c>
      <c r="AR9" s="65">
        <f t="shared" si="3"/>
        <v>5800</v>
      </c>
      <c r="AS9" s="65">
        <f t="shared" si="3"/>
        <v>5800</v>
      </c>
      <c r="AT9" s="65">
        <f t="shared" si="3"/>
        <v>5800</v>
      </c>
      <c r="AU9" s="65">
        <f t="shared" si="3"/>
        <v>5800</v>
      </c>
      <c r="AV9" s="65">
        <f t="shared" si="3"/>
        <v>5800</v>
      </c>
      <c r="AW9" s="65">
        <f t="shared" si="3"/>
        <v>5800</v>
      </c>
      <c r="AX9" s="65">
        <f t="shared" si="3"/>
        <v>5800</v>
      </c>
      <c r="AY9" s="23"/>
      <c r="AZ9" s="23"/>
      <c r="BA9" s="23"/>
      <c r="BB9" s="23"/>
      <c r="BC9" s="90"/>
      <c r="BF9" s="115" t="str">
        <f>B10&amp;" = "&amp;D10</f>
        <v>PUISSANCE MAX. (PS) = 243</v>
      </c>
    </row>
    <row r="10" spans="1:58" ht="12.75" customHeight="1">
      <c r="A10" s="89"/>
      <c r="B10" s="251" t="str">
        <f>IF($D$40="HP","PUISSANCE MAX. (HP)",IF($D$40="KW","PUISSANCE MAX. (KW)","PUISSANCE MAX. (PS)"))</f>
        <v>PUISSANCE MAX. (PS)</v>
      </c>
      <c r="C10" s="251"/>
      <c r="D10" s="32">
        <v>243</v>
      </c>
      <c r="E10" s="1"/>
      <c r="F10" s="18" t="s">
        <v>104</v>
      </c>
      <c r="G10" s="19">
        <f t="shared" si="0"/>
        <v>6</v>
      </c>
      <c r="H10" s="9"/>
      <c r="I10" s="19">
        <f>ROUND(CEILING((1-N16)*N7*2,0.2),0)</f>
        <v>6</v>
      </c>
      <c r="J10" s="19">
        <f>ROUND(CEILING((1-N16)*N7*2,0.2),0)</f>
        <v>6</v>
      </c>
      <c r="K10" s="19">
        <f>ROUND(CEILING((1-N16)*N7*2,0.2),0)</f>
        <v>6</v>
      </c>
      <c r="L10" s="10"/>
      <c r="M10" s="3" t="s">
        <v>12</v>
      </c>
      <c r="N10" s="31">
        <f>N14/N15</f>
        <v>1.2033303802274493</v>
      </c>
      <c r="O10" s="5"/>
      <c r="P10" s="169" t="s">
        <v>68</v>
      </c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78">
        <v>5.5</v>
      </c>
      <c r="AD10" s="179"/>
      <c r="AE10" s="180"/>
      <c r="AF10" s="23"/>
      <c r="AG10" s="23"/>
      <c r="AH10" s="16"/>
      <c r="AI10" s="24">
        <v>1</v>
      </c>
      <c r="AJ10" s="24">
        <v>1</v>
      </c>
      <c r="AK10" s="24">
        <v>2</v>
      </c>
      <c r="AL10" s="24">
        <v>2</v>
      </c>
      <c r="AM10" s="24">
        <v>3</v>
      </c>
      <c r="AN10" s="24">
        <v>3</v>
      </c>
      <c r="AO10" s="24">
        <v>4</v>
      </c>
      <c r="AP10" s="24">
        <v>4</v>
      </c>
      <c r="AQ10" s="24">
        <v>5</v>
      </c>
      <c r="AR10" s="24">
        <v>5</v>
      </c>
      <c r="AS10" s="24">
        <v>6</v>
      </c>
      <c r="AT10" s="24">
        <v>6</v>
      </c>
      <c r="AU10" s="24">
        <v>7</v>
      </c>
      <c r="AV10" s="24">
        <v>7</v>
      </c>
      <c r="AW10" s="24">
        <v>8</v>
      </c>
      <c r="AX10" s="24">
        <v>8</v>
      </c>
      <c r="AY10" s="23"/>
      <c r="AZ10" s="23"/>
      <c r="BA10" s="23"/>
      <c r="BB10" s="23"/>
      <c r="BC10" s="90"/>
      <c r="BF10" s="115" t="str">
        <f>B11&amp;" = "&amp;D11</f>
        <v>COUPLE MAX. (NM) = 269,8</v>
      </c>
    </row>
    <row r="11" spans="1:58" ht="12.75" customHeight="1">
      <c r="A11" s="89"/>
      <c r="B11" s="251" t="str">
        <f>IF($D$41="LB-FT","COUPLE MAX. (LB-FT)",IF($D$41="KGFM","COUPLE MAX. (KGFM)","COUPLE MAX. (NM)"))</f>
        <v>COUPLE MAX. (NM)</v>
      </c>
      <c r="C11" s="251"/>
      <c r="D11" s="32">
        <v>269.8</v>
      </c>
      <c r="E11" s="21"/>
      <c r="F11" s="11" t="s">
        <v>105</v>
      </c>
      <c r="G11" s="13">
        <f t="shared" si="0"/>
        <v>3</v>
      </c>
      <c r="H11" s="9"/>
      <c r="I11" s="13">
        <f>ROUND(N8*POWER(IF(D42="N",(20/3*POWER(N16,2)-11*N16+29/6),(-20/3*POWER(N16,2)+11*N16-17/6)),0.999),0)</f>
        <v>3</v>
      </c>
      <c r="J11" s="13">
        <f>ROUND(N8*POWER(IF(D42="N",(20/3*POWER(N16,2)-11*N16+29/6),(-20/3*POWER(N16,2)+11*N16-17/6)),0.999),0)</f>
        <v>3</v>
      </c>
      <c r="K11" s="13">
        <f>ROUND(N8*POWER(IF(D42="N",(20/3*POWER(N16,2)-11*N16+29/6),(-20/3*POWER(N16,2)+11*N16-17/6)),0.999),0)</f>
        <v>3</v>
      </c>
      <c r="L11" s="10"/>
      <c r="M11" s="3" t="s">
        <v>13</v>
      </c>
      <c r="N11" s="22">
        <f>(1-N26)+N26*((SQRT(N9+IF(N9&lt;N20,N20-N9,0)+IF(N9&gt;N21,N21-N9,0)-N20)/SQRT(N19-N20)))</f>
        <v>1.0504695833427367</v>
      </c>
      <c r="O11" s="5"/>
      <c r="P11" s="169" t="s">
        <v>67</v>
      </c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81">
        <v>0.75</v>
      </c>
      <c r="AD11" s="182"/>
      <c r="AE11" s="183"/>
      <c r="AF11" s="23"/>
      <c r="AG11" s="23"/>
      <c r="AH11" s="16" t="s">
        <v>53</v>
      </c>
      <c r="AI11" s="27">
        <v>0</v>
      </c>
      <c r="AJ11" s="27">
        <f ca="1">IF($AC$3&lt;AJ10,AI11,OFFSET($AW$25,AJ10-1,0))</f>
        <v>95.71157318746639</v>
      </c>
      <c r="AK11" s="27">
        <f>AJ11</f>
        <v>95.71157318746639</v>
      </c>
      <c r="AL11" s="27">
        <f ca="1">IF($AC$3&lt;AL10,AK11,OFFSET($AW$25,AL10-1,0))</f>
        <v>125.30467671958439</v>
      </c>
      <c r="AM11" s="27">
        <f>AL11</f>
        <v>125.30467671958439</v>
      </c>
      <c r="AN11" s="27">
        <f ca="1">IF($AC$3&lt;AN10,AM11,OFFSET($AW$25,AN10-1,0))</f>
        <v>159.81056983879324</v>
      </c>
      <c r="AO11" s="27">
        <f>AN11</f>
        <v>159.81056983879324</v>
      </c>
      <c r="AP11" s="27">
        <f ca="1">IF($AC$3&lt;AP10,AO11,OFFSET($AW$25,AP10-1,0))</f>
        <v>197.75197277942056</v>
      </c>
      <c r="AQ11" s="27">
        <f>AP11</f>
        <v>197.75197277942056</v>
      </c>
      <c r="AR11" s="27">
        <f ca="1">IF($AC$3&lt;AR10,AQ11,OFFSET($AW$25,AR10-1,0))</f>
        <v>239.99693252653913</v>
      </c>
      <c r="AS11" s="27">
        <f>AR11</f>
        <v>239.99693252653913</v>
      </c>
      <c r="AT11" s="27">
        <f ca="1">IF($AC$3&lt;AT10,AS11,OFFSET($AW$25,AT10-1,0))</f>
        <v>239.99693252653913</v>
      </c>
      <c r="AU11" s="27">
        <f>AT11</f>
        <v>239.99693252653913</v>
      </c>
      <c r="AV11" s="27">
        <f ca="1">IF($AC$3&lt;AV10,AU11,OFFSET($AW$25,AV10-1,0))</f>
        <v>239.99693252653913</v>
      </c>
      <c r="AW11" s="27">
        <f>AV11</f>
        <v>239.99693252653913</v>
      </c>
      <c r="AX11" s="27">
        <f ca="1">IF($AC$3&lt;AX10,AW11,OFFSET($AW$25,AX10-1,0))</f>
        <v>239.99693252653913</v>
      </c>
      <c r="AY11" s="23"/>
      <c r="AZ11" s="23"/>
      <c r="BA11" s="23"/>
      <c r="BB11" s="23"/>
      <c r="BC11" s="90"/>
      <c r="BF11" s="115" t="str">
        <f>B12&amp;" = "&amp;D12</f>
        <v>POIDS (KG) = 988</v>
      </c>
    </row>
    <row r="12" spans="1:58" ht="12.75" customHeight="1">
      <c r="A12" s="89"/>
      <c r="B12" s="251" t="s">
        <v>9</v>
      </c>
      <c r="C12" s="251"/>
      <c r="D12" s="32">
        <v>988</v>
      </c>
      <c r="E12" s="21"/>
      <c r="F12" s="18" t="s">
        <v>106</v>
      </c>
      <c r="G12" s="19">
        <f t="shared" si="0"/>
        <v>3</v>
      </c>
      <c r="H12" s="33"/>
      <c r="I12" s="19">
        <f>ROUND(N8*POWER(IF(D42="N",(-20/3*POWER(N16,2)+11*N16-17/6),(20/3*POWER(N16,2)-11*N16+29/6)),0.999),0)</f>
        <v>3</v>
      </c>
      <c r="J12" s="19">
        <f>ROUND(N8*POWER(IF(D42="N",(-20/3*POWER(N16,2)+11*N16-17/6),(20/3*POWER(N16,2)-11*N16+29/6)),0.999),0)</f>
        <v>3</v>
      </c>
      <c r="K12" s="19">
        <f>ROUND(N8*POWER(IF(D42="N",(-20/3*POWER(N16,2)+11*N16-17/6),(20/3*POWER(N16,2)-11*N16+29/6)),0.999),0)</f>
        <v>3</v>
      </c>
      <c r="L12" s="1"/>
      <c r="M12" s="3" t="s">
        <v>14</v>
      </c>
      <c r="N12" s="22">
        <f>(1+N27)-N27*(SQRT(N10+IF(N10&lt;N23,N23-N10,0)+IF(N10&gt;N24,N24-N10,0)-N23)/SQRT(N22-N23))</f>
        <v>0.9462291474040134</v>
      </c>
      <c r="O12" s="5"/>
      <c r="P12" s="169" t="s">
        <v>70</v>
      </c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84">
        <f>(AC10-AC9)*AC11+AC9</f>
        <v>4.75</v>
      </c>
      <c r="AD12" s="185"/>
      <c r="AE12" s="186"/>
      <c r="AF12" s="23"/>
      <c r="AG12" s="23"/>
      <c r="AH12" s="16" t="s">
        <v>54</v>
      </c>
      <c r="AI12" s="24">
        <v>0</v>
      </c>
      <c r="AJ12" s="65">
        <f>IF(AJ$4&lt;$AC$3,$AC$4,$AC$6)</f>
        <v>8200</v>
      </c>
      <c r="AK12" s="65">
        <f ca="1">IF(AK$4&lt;=$AC$3,OFFSET($AZ$25,AK10-1,0),AJ12)</f>
        <v>6263.4126728851725</v>
      </c>
      <c r="AL12" s="65">
        <f>IF(AL$4&lt;$AC$3,$AC$4,$AC$6)</f>
        <v>8200</v>
      </c>
      <c r="AM12" s="65">
        <f ca="1">IF(AM$4&lt;=$AC$3,OFFSET($AZ$25,AM10-1,0),AL12)</f>
        <v>6429.476787030215</v>
      </c>
      <c r="AN12" s="65">
        <f>IF(AN$4&lt;$AC$3,$AC$4,$AC$6)</f>
        <v>8200</v>
      </c>
      <c r="AO12" s="65">
        <f ca="1">IF(AO$4&lt;=$AC$3,OFFSET($AZ$25,AO10-1,0),AN12)</f>
        <v>6626.7185821697085</v>
      </c>
      <c r="AP12" s="65">
        <f>IF(AP$4&lt;$AC$3,$AC$4,$AC$6)</f>
        <v>8200</v>
      </c>
      <c r="AQ12" s="65">
        <f ca="1">IF(AQ$4&lt;=$AC$3,OFFSET($AZ$25,AQ10-1,0),AP12)</f>
        <v>6839.0098022927405</v>
      </c>
      <c r="AR12" s="65">
        <f>IF(AR$4&lt;$AC$3,$AC$4,$AC$6)</f>
        <v>8300</v>
      </c>
      <c r="AS12" s="65">
        <f ca="1">IF(AS$4&lt;=$AC$3,OFFSET($AZ$25,AS10-1,0),AR12)</f>
        <v>8300</v>
      </c>
      <c r="AT12" s="65">
        <f>IF(AT$4&lt;$AC$3,$AC$4,$AC$6)</f>
        <v>8300</v>
      </c>
      <c r="AU12" s="65">
        <f ca="1">IF(AU$4&lt;=$AC$3,OFFSET($AZ$25,AU10-1,0),AT12)</f>
        <v>8300</v>
      </c>
      <c r="AV12" s="65">
        <f>IF(AV$4&lt;$AC$3,$AC$4,$AC$6)</f>
        <v>8300</v>
      </c>
      <c r="AW12" s="65">
        <f ca="1">IF(AW$4&lt;=$AC$3,OFFSET($AZ$25,AW10-1,0),AV12)</f>
        <v>8300</v>
      </c>
      <c r="AX12" s="65">
        <f>IF(AX$4&lt;$AC$3,$AC$4,$AC$6)</f>
        <v>8300</v>
      </c>
      <c r="AY12" s="23"/>
      <c r="AZ12" s="23"/>
      <c r="BA12" s="23"/>
      <c r="BB12" s="23"/>
      <c r="BC12" s="90"/>
      <c r="BF12" s="115" t="str">
        <f>B13&amp;" = "&amp;D13</f>
        <v>DISTRIBUTION POIDS AVANT (%) = 0,5</v>
      </c>
    </row>
    <row r="13" spans="1:58" ht="12.75" customHeight="1">
      <c r="A13" s="89"/>
      <c r="B13" s="231" t="s">
        <v>11</v>
      </c>
      <c r="C13" s="231"/>
      <c r="D13" s="34">
        <v>0.5</v>
      </c>
      <c r="E13" s="21"/>
      <c r="F13" s="91"/>
      <c r="G13" s="91"/>
      <c r="H13" s="20"/>
      <c r="I13" s="91"/>
      <c r="J13" s="91"/>
      <c r="K13" s="91"/>
      <c r="L13" s="21"/>
      <c r="M13" s="3" t="s">
        <v>16</v>
      </c>
      <c r="N13" s="22">
        <f>N11*N12</f>
        <v>0.9939849382202469</v>
      </c>
      <c r="O13" s="5"/>
      <c r="P13" s="169" t="s">
        <v>71</v>
      </c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88">
        <v>180</v>
      </c>
      <c r="AD13" s="188"/>
      <c r="AE13" s="188"/>
      <c r="AF13" s="15"/>
      <c r="AG13" s="15"/>
      <c r="AH13" s="15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90"/>
      <c r="BF13" s="115" t="str">
        <f>B14&amp;" = "&amp;D14</f>
        <v>TYPE DE TRANSMISSION = MR</v>
      </c>
    </row>
    <row r="14" spans="1:58" ht="12.75" customHeight="1">
      <c r="A14" s="89"/>
      <c r="B14" s="231" t="s">
        <v>66</v>
      </c>
      <c r="C14" s="231"/>
      <c r="D14" s="35" t="s">
        <v>141</v>
      </c>
      <c r="E14" s="21"/>
      <c r="F14" s="7" t="s">
        <v>156</v>
      </c>
      <c r="G14" s="8" t="str">
        <f>IF($D$14="FF",I14,IF($D$14="4WD",K14,J14))</f>
        <v>RWD</v>
      </c>
      <c r="H14" s="20"/>
      <c r="I14" s="8" t="s">
        <v>93</v>
      </c>
      <c r="J14" s="8" t="s">
        <v>94</v>
      </c>
      <c r="K14" s="8" t="s">
        <v>95</v>
      </c>
      <c r="L14" s="21"/>
      <c r="M14" s="1" t="s">
        <v>18</v>
      </c>
      <c r="N14" s="21">
        <f>IF(D40="HP",D10,IF(D40="KW",D10*1.341,D10*0.986))</f>
        <v>239.59799999999998</v>
      </c>
      <c r="O14" s="5"/>
      <c r="P14" s="169" t="s">
        <v>72</v>
      </c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89">
        <v>1.153</v>
      </c>
      <c r="AD14" s="190"/>
      <c r="AE14" s="191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90"/>
      <c r="BF14" s="109"/>
    </row>
    <row r="15" spans="1:58" ht="12.75" customHeight="1">
      <c r="A15" s="89"/>
      <c r="B15" s="94"/>
      <c r="C15" s="94"/>
      <c r="D15" s="94"/>
      <c r="E15" s="21"/>
      <c r="F15" s="11" t="s">
        <v>107</v>
      </c>
      <c r="G15" s="36">
        <f>IF($D$14="FF",I15,IF($D$14="4WD",K15,J15))</f>
        <v>0.9</v>
      </c>
      <c r="H15" s="37"/>
      <c r="I15" s="36">
        <f>ROUND(FLOOR(D32-D32*2*(0.4-N16)+D32*N3/6,0.02),1)</f>
        <v>0.9</v>
      </c>
      <c r="J15" s="36">
        <f>ROUND(FLOOR(D32-D32*2*(0.4-N16)+D32*N3/6,0.02),1)</f>
        <v>0.9</v>
      </c>
      <c r="K15" s="36">
        <f>ROUND(FLOOR(D32-D32*2*(0.4-N16)+D32*N3/6,0.02),1)</f>
        <v>0.9</v>
      </c>
      <c r="L15" s="14"/>
      <c r="M15" s="1" t="s">
        <v>20</v>
      </c>
      <c r="N15" s="21">
        <f>IF(D41="LB-FT",D11,IF(D41="KGFM",D11*7.233,D11*0.738))</f>
        <v>199.1124</v>
      </c>
      <c r="O15" s="5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90"/>
      <c r="BF15" s="113" t="s">
        <v>161</v>
      </c>
    </row>
    <row r="16" spans="1:58" ht="12.75" customHeight="1">
      <c r="A16" s="89"/>
      <c r="B16" s="235" t="s">
        <v>129</v>
      </c>
      <c r="C16" s="235"/>
      <c r="D16" s="235"/>
      <c r="E16" s="21"/>
      <c r="F16" s="18" t="s">
        <v>108</v>
      </c>
      <c r="G16" s="38">
        <f>IF($D$14="FF",I16,IF($D$14="4WD",K16,J16))</f>
        <v>1.1</v>
      </c>
      <c r="H16" s="37"/>
      <c r="I16" s="38">
        <f>ROUND(CEILING(D32-D32*2*(N16-0.4)-D32*N3/6,0.02),1)</f>
        <v>1.1</v>
      </c>
      <c r="J16" s="38">
        <f>ROUND(CEILING(D32-D32*2*(N16-0.4)-D32*N3/6,0.02),1)</f>
        <v>1.1</v>
      </c>
      <c r="K16" s="38">
        <f>ROUND(CEILING(D32-D32*2*(N16-0.4)-D32*N3/6,0.02),1)</f>
        <v>1.1</v>
      </c>
      <c r="L16" s="14"/>
      <c r="M16" s="1" t="s">
        <v>22</v>
      </c>
      <c r="N16" s="17">
        <f>IF(D13&gt;0.4,IF(D13&lt;0.65,D13,0.65),0.4)</f>
        <v>0.5</v>
      </c>
      <c r="O16" s="5"/>
      <c r="P16" s="169" t="s">
        <v>75</v>
      </c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92">
        <f>(($AC$14*$AC$12*$AC$13/$AC$6*1000/60))</f>
        <v>1.9795481927710845</v>
      </c>
      <c r="AD16" s="192"/>
      <c r="AE16" s="192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90"/>
      <c r="BF16" s="248" t="str">
        <f>$F$41</f>
        <v>Lest -50% 80Kg</v>
      </c>
    </row>
    <row r="17" spans="1:58" ht="12.75" customHeight="1">
      <c r="A17" s="89"/>
      <c r="B17" s="236" t="s">
        <v>15</v>
      </c>
      <c r="C17" s="236"/>
      <c r="D17" s="39">
        <v>70</v>
      </c>
      <c r="E17" s="91"/>
      <c r="F17" s="11" t="s">
        <v>109</v>
      </c>
      <c r="G17" s="26">
        <f>IF($D$14="FF",I17,IF($D$14="4WD",K17,J17))</f>
        <v>-0.04</v>
      </c>
      <c r="H17" s="33"/>
      <c r="I17" s="26">
        <f>ROUND(4*POWER(N16-0.65,2)-0.125-1/24*D30,2)</f>
        <v>-0.04</v>
      </c>
      <c r="J17" s="26">
        <f>ROUND(4*POWER(N16-0.65,2)-0.125-1/24*D30,2)</f>
        <v>-0.04</v>
      </c>
      <c r="K17" s="26">
        <f>ROUND(4*POWER(N16-0.65,2)-0.125-1/24*D30,2)</f>
        <v>-0.04</v>
      </c>
      <c r="L17" s="1"/>
      <c r="M17" s="94"/>
      <c r="N17" s="94"/>
      <c r="O17" s="5"/>
      <c r="P17" s="169" t="s">
        <v>74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93">
        <f>$AC$16*1000/PI()/25.4</f>
        <v>24.80747086363356</v>
      </c>
      <c r="AD17" s="193"/>
      <c r="AE17" s="19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90"/>
      <c r="BF17" s="249"/>
    </row>
    <row r="18" spans="1:58" ht="12.75" customHeight="1">
      <c r="A18" s="89"/>
      <c r="B18" s="237" t="s">
        <v>17</v>
      </c>
      <c r="C18" s="237"/>
      <c r="D18" s="40">
        <v>145</v>
      </c>
      <c r="E18" s="91"/>
      <c r="F18" s="18" t="s">
        <v>110</v>
      </c>
      <c r="G18" s="28">
        <f>IF($D$14="FF",I18,IF($D$14="4WD",K18,J18))</f>
        <v>0.37</v>
      </c>
      <c r="H18" s="9"/>
      <c r="I18" s="28">
        <f>ROUND(10*POWER(N16-0.65,2)-0.125-(2*POWER(N16-0.65,2)+1/24)*N3,2)</f>
        <v>0.23</v>
      </c>
      <c r="J18" s="28">
        <f>ROUND((MAX((IF(N9&lt;10,9/1682*POWER(N9-10,2),0)*(-D31+3)/3),(10*POWER(N16-0.65,2)-0.125)-(2*POWER(N16-0.65,2)+1/24)*N3)),2)</f>
        <v>0.37</v>
      </c>
      <c r="K18" s="28">
        <f>ROUND(10*POWER(N16-0.65,2)-0.125-(2*POWER(N16-0.65,2)+1/24)*N3,2)</f>
        <v>0.23</v>
      </c>
      <c r="L18" s="10"/>
      <c r="M18" s="3" t="s">
        <v>25</v>
      </c>
      <c r="N18" s="3"/>
      <c r="O18" s="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90"/>
      <c r="BF18" s="249"/>
    </row>
    <row r="19" spans="1:58" ht="12.75" customHeight="1">
      <c r="A19" s="89"/>
      <c r="B19" s="236" t="s">
        <v>19</v>
      </c>
      <c r="C19" s="236"/>
      <c r="D19" s="39">
        <v>70</v>
      </c>
      <c r="E19" s="1"/>
      <c r="F19" s="1"/>
      <c r="G19" s="1"/>
      <c r="H19" s="9"/>
      <c r="I19" s="1"/>
      <c r="J19" s="1"/>
      <c r="K19" s="1"/>
      <c r="L19" s="10"/>
      <c r="M19" s="3" t="s">
        <v>27</v>
      </c>
      <c r="N19" s="14">
        <v>2.75</v>
      </c>
      <c r="O19" s="5"/>
      <c r="P19" s="171" t="s">
        <v>136</v>
      </c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90"/>
      <c r="BF19" s="249"/>
    </row>
    <row r="20" spans="1:58" ht="12.75" customHeight="1">
      <c r="A20" s="89"/>
      <c r="B20" s="237" t="s">
        <v>21</v>
      </c>
      <c r="C20" s="237"/>
      <c r="D20" s="40">
        <v>145</v>
      </c>
      <c r="E20" s="1"/>
      <c r="F20" s="7" t="s">
        <v>120</v>
      </c>
      <c r="G20" s="8" t="str">
        <f>IF($D$14="FF",I20,IF($D$14="4WD",K20,J20))</f>
        <v>RWD</v>
      </c>
      <c r="H20" s="9"/>
      <c r="I20" s="8" t="s">
        <v>93</v>
      </c>
      <c r="J20" s="8" t="s">
        <v>94</v>
      </c>
      <c r="K20" s="8" t="s">
        <v>95</v>
      </c>
      <c r="L20" s="10"/>
      <c r="M20" s="3" t="s">
        <v>29</v>
      </c>
      <c r="N20" s="14">
        <f>1/3</f>
        <v>0.3333333333333333</v>
      </c>
      <c r="O20" s="5"/>
      <c r="P20" s="187" t="s">
        <v>59</v>
      </c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90"/>
      <c r="BF20" s="250"/>
    </row>
    <row r="21" spans="1:58" ht="12.75" customHeight="1">
      <c r="A21" s="89"/>
      <c r="B21" s="236" t="s">
        <v>23</v>
      </c>
      <c r="C21" s="236"/>
      <c r="D21" s="41">
        <v>3.05</v>
      </c>
      <c r="E21" s="21"/>
      <c r="F21" s="11" t="s">
        <v>111</v>
      </c>
      <c r="G21" s="13">
        <f>IF($D$14="FF",I21,IF($D$14="4WD",K21,J21))</f>
        <v>5</v>
      </c>
      <c r="H21" s="9"/>
      <c r="I21" s="13">
        <f>ROUND(10-4*(N16-0.4)/0.25-6*(D30+3)/6,0)</f>
        <v>5</v>
      </c>
      <c r="J21" s="13">
        <f>ROUND(10-4*(N16-0.4)/0.25-6*(D30+3)/6,0)</f>
        <v>5</v>
      </c>
      <c r="K21" s="13">
        <f>ROUND(10-4*(N16-0.4)/0.25-6*(D30+3)/6,0)</f>
        <v>5</v>
      </c>
      <c r="L21" s="10"/>
      <c r="M21" s="3" t="s">
        <v>31</v>
      </c>
      <c r="N21" s="14">
        <f>N20+(N19-N20)*4</f>
        <v>10</v>
      </c>
      <c r="O21" s="5"/>
      <c r="P21" s="165" t="s">
        <v>77</v>
      </c>
      <c r="Q21" s="130" t="s">
        <v>78</v>
      </c>
      <c r="R21" s="130"/>
      <c r="S21" s="130"/>
      <c r="T21" s="130" t="s">
        <v>79</v>
      </c>
      <c r="U21" s="130"/>
      <c r="V21" s="130"/>
      <c r="W21" s="130" t="s">
        <v>80</v>
      </c>
      <c r="X21" s="130"/>
      <c r="Y21" s="130"/>
      <c r="Z21" s="130" t="s">
        <v>81</v>
      </c>
      <c r="AA21" s="130"/>
      <c r="AB21" s="130"/>
      <c r="AC21" s="130" t="s">
        <v>82</v>
      </c>
      <c r="AD21" s="130"/>
      <c r="AE21" s="130"/>
      <c r="AF21" s="23"/>
      <c r="AG21" s="122" t="s">
        <v>137</v>
      </c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90"/>
      <c r="BF21" s="109"/>
    </row>
    <row r="22" spans="1:58" ht="12.75" customHeight="1">
      <c r="A22" s="89"/>
      <c r="B22" s="245" t="s">
        <v>24</v>
      </c>
      <c r="C22" s="245"/>
      <c r="D22" s="43">
        <v>2.63</v>
      </c>
      <c r="E22" s="1"/>
      <c r="F22" s="18" t="s">
        <v>112</v>
      </c>
      <c r="G22" s="19">
        <f>IF($D$14="FF",I22,IF($D$14="4WD",K22,J22))</f>
        <v>5</v>
      </c>
      <c r="H22" s="9"/>
      <c r="I22" s="19">
        <f>ROUND(4*(N16-0.4)/0.25+6*(D30+3)/6,0)</f>
        <v>5</v>
      </c>
      <c r="J22" s="19">
        <f>ROUND(4*(N16-0.4)/0.25+6*(D30+3)/6,0)</f>
        <v>5</v>
      </c>
      <c r="K22" s="19">
        <f>ROUND(4*(N16-0.4)/0.25+6*(D30+3)/6,0)</f>
        <v>5</v>
      </c>
      <c r="L22" s="10"/>
      <c r="M22" s="3" t="s">
        <v>33</v>
      </c>
      <c r="N22" s="14">
        <f>1</f>
        <v>1</v>
      </c>
      <c r="O22" s="5"/>
      <c r="P22" s="165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23"/>
      <c r="AG22" s="140" t="s">
        <v>87</v>
      </c>
      <c r="AH22" s="140"/>
      <c r="AI22" s="140"/>
      <c r="AJ22" s="140" t="s">
        <v>88</v>
      </c>
      <c r="AK22" s="140"/>
      <c r="AL22" s="140"/>
      <c r="AM22" s="141" t="s">
        <v>92</v>
      </c>
      <c r="AN22" s="141"/>
      <c r="AO22" s="141"/>
      <c r="AP22" s="159" t="s">
        <v>90</v>
      </c>
      <c r="AQ22" s="150" t="s">
        <v>89</v>
      </c>
      <c r="AR22" s="151"/>
      <c r="AS22" s="152"/>
      <c r="AT22" s="130" t="s">
        <v>139</v>
      </c>
      <c r="AU22" s="130"/>
      <c r="AV22" s="130"/>
      <c r="AW22" s="130" t="s">
        <v>81</v>
      </c>
      <c r="AX22" s="130"/>
      <c r="AY22" s="130"/>
      <c r="AZ22" s="130" t="s">
        <v>82</v>
      </c>
      <c r="BA22" s="130"/>
      <c r="BB22" s="130"/>
      <c r="BC22" s="90"/>
      <c r="BF22" s="113" t="s">
        <v>162</v>
      </c>
    </row>
    <row r="23" spans="1:58" ht="12.75" customHeight="1">
      <c r="A23" s="89"/>
      <c r="B23" s="245" t="s">
        <v>26</v>
      </c>
      <c r="C23" s="245"/>
      <c r="D23" s="44">
        <v>11.34</v>
      </c>
      <c r="E23" s="1"/>
      <c r="F23" s="94"/>
      <c r="G23" s="94"/>
      <c r="H23" s="9"/>
      <c r="I23" s="94"/>
      <c r="J23" s="94"/>
      <c r="K23" s="94"/>
      <c r="L23" s="10"/>
      <c r="M23" s="3" t="s">
        <v>34</v>
      </c>
      <c r="N23" s="14">
        <f>2/3</f>
        <v>0.6666666666666666</v>
      </c>
      <c r="O23" s="5"/>
      <c r="P23" s="165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23"/>
      <c r="AG23" s="130"/>
      <c r="AH23" s="130"/>
      <c r="AI23" s="130"/>
      <c r="AJ23" s="130"/>
      <c r="AK23" s="130"/>
      <c r="AL23" s="130"/>
      <c r="AM23" s="142"/>
      <c r="AN23" s="142"/>
      <c r="AO23" s="142"/>
      <c r="AP23" s="159"/>
      <c r="AQ23" s="153"/>
      <c r="AR23" s="154"/>
      <c r="AS23" s="155"/>
      <c r="AT23" s="130"/>
      <c r="AU23" s="130"/>
      <c r="AV23" s="130"/>
      <c r="AW23" s="130"/>
      <c r="AX23" s="130"/>
      <c r="AY23" s="130"/>
      <c r="AZ23" s="130"/>
      <c r="BA23" s="130"/>
      <c r="BB23" s="130"/>
      <c r="BC23" s="90"/>
      <c r="BF23" s="115" t="str">
        <f>F3&amp;" = "&amp;TEXT(G3,"0")</f>
        <v>GARDE AU SOL AVANT = 98</v>
      </c>
    </row>
    <row r="24" spans="1:58" ht="12.75" customHeight="1">
      <c r="A24" s="89"/>
      <c r="B24" s="238" t="s">
        <v>28</v>
      </c>
      <c r="C24" s="239"/>
      <c r="D24" s="41">
        <v>4.43</v>
      </c>
      <c r="E24" s="45"/>
      <c r="F24" s="7" t="s">
        <v>121</v>
      </c>
      <c r="G24" s="8" t="str">
        <f aca="true" t="shared" si="4" ref="G24:G30">IF($D$14="FF",I24,IF($D$14="4WD",K24,J24))</f>
        <v>RWD</v>
      </c>
      <c r="H24" s="33"/>
      <c r="I24" s="8" t="s">
        <v>93</v>
      </c>
      <c r="J24" s="8" t="s">
        <v>94</v>
      </c>
      <c r="K24" s="8" t="s">
        <v>95</v>
      </c>
      <c r="L24" s="1"/>
      <c r="M24" s="3" t="s">
        <v>35</v>
      </c>
      <c r="N24" s="14">
        <f>N23+(N22-N23)*4</f>
        <v>2</v>
      </c>
      <c r="O24" s="5"/>
      <c r="P24" s="165"/>
      <c r="Q24" s="130"/>
      <c r="R24" s="130"/>
      <c r="S24" s="130"/>
      <c r="T24" s="130"/>
      <c r="U24" s="130"/>
      <c r="V24" s="130"/>
      <c r="W24" s="130"/>
      <c r="X24" s="130"/>
      <c r="Y24" s="130"/>
      <c r="Z24" s="130" t="s">
        <v>83</v>
      </c>
      <c r="AA24" s="130"/>
      <c r="AB24" s="130"/>
      <c r="AC24" s="130" t="s">
        <v>84</v>
      </c>
      <c r="AD24" s="130"/>
      <c r="AE24" s="130"/>
      <c r="AF24" s="23"/>
      <c r="AG24" s="131"/>
      <c r="AH24" s="131"/>
      <c r="AI24" s="131"/>
      <c r="AJ24" s="131"/>
      <c r="AK24" s="131"/>
      <c r="AL24" s="131"/>
      <c r="AM24" s="143"/>
      <c r="AN24" s="143"/>
      <c r="AO24" s="143"/>
      <c r="AP24" s="159"/>
      <c r="AQ24" s="156"/>
      <c r="AR24" s="157"/>
      <c r="AS24" s="158"/>
      <c r="AT24" s="131"/>
      <c r="AU24" s="131"/>
      <c r="AV24" s="131"/>
      <c r="AW24" s="131"/>
      <c r="AX24" s="131"/>
      <c r="AY24" s="131"/>
      <c r="AZ24" s="131"/>
      <c r="BA24" s="131"/>
      <c r="BB24" s="131"/>
      <c r="BC24" s="90"/>
      <c r="BF24" s="115" t="str">
        <f aca="true" t="shared" si="5" ref="BF24:BF32">F4&amp;" = "&amp;TEXT(G4,"0")</f>
        <v>GARDE AU SOL ARRIERE = 109</v>
      </c>
    </row>
    <row r="25" spans="1:58" ht="12.75" customHeight="1">
      <c r="A25" s="89"/>
      <c r="B25" s="240" t="s">
        <v>30</v>
      </c>
      <c r="C25" s="241"/>
      <c r="D25" s="43">
        <v>3.86</v>
      </c>
      <c r="E25" s="1"/>
      <c r="F25" s="11" t="s">
        <v>113</v>
      </c>
      <c r="G25" s="13" t="str">
        <f t="shared" si="4"/>
        <v>-</v>
      </c>
      <c r="H25" s="33"/>
      <c r="I25" s="13">
        <f>ROUND(4+D33,0)</f>
        <v>5</v>
      </c>
      <c r="J25" s="13" t="s">
        <v>37</v>
      </c>
      <c r="K25" s="13">
        <f>ROUND(4+D33,0)</f>
        <v>5</v>
      </c>
      <c r="L25" s="1"/>
      <c r="M25" s="3" t="s">
        <v>38</v>
      </c>
      <c r="N25" s="17">
        <v>0.05</v>
      </c>
      <c r="O25" s="5"/>
      <c r="P25" s="46">
        <v>1</v>
      </c>
      <c r="Q25" s="166">
        <v>3.109</v>
      </c>
      <c r="R25" s="167"/>
      <c r="S25" s="168"/>
      <c r="T25" s="144">
        <v>4.206</v>
      </c>
      <c r="U25" s="144"/>
      <c r="V25" s="144"/>
      <c r="W25" s="145">
        <f>(T25-Q25)*VLOOKUP($P$20,$P$38:$AZ$47,14,FALSE)+Q25</f>
        <v>3.109</v>
      </c>
      <c r="X25" s="145"/>
      <c r="Y25" s="145"/>
      <c r="Z25" s="162">
        <f aca="true" t="shared" si="6" ref="Z25:Z32">IF(P25=$AC$3,($AC$6/(W25*AC$35))*$AC$16*60/1000,($AC$4/(W25*AC$35))*$AC$16*60/1000)</f>
        <v>95.71157318746639</v>
      </c>
      <c r="AA25" s="162"/>
      <c r="AB25" s="162"/>
      <c r="AC25" s="163">
        <v>0</v>
      </c>
      <c r="AD25" s="163"/>
      <c r="AE25" s="163"/>
      <c r="AF25" s="23"/>
      <c r="AG25" s="195">
        <f>IF(P25=$AC$3,ROUND($AC$6/($AC$35*$T25)*$AC$16*60/1000+0.5,0),ROUND($AC$4/($AC$35*$T25)*$AC$16*60/1000+0.5,0))</f>
        <v>71</v>
      </c>
      <c r="AH25" s="195"/>
      <c r="AI25" s="195"/>
      <c r="AJ25" s="195">
        <f>IF(P25=$AC$3,ROUND($AC$6/($AC$35*$Q25)*$AC$16*60/1000-0.5,0),ROUND($AC$4/($AC$35*$Q25)*$AC$16*60/1000-0.5,0))</f>
        <v>95</v>
      </c>
      <c r="AK25" s="195"/>
      <c r="AL25" s="195"/>
      <c r="AM25" s="135"/>
      <c r="AN25" s="135"/>
      <c r="AO25" s="135"/>
      <c r="AP25" s="159"/>
      <c r="AQ25" s="127">
        <f aca="true" t="shared" si="7" ref="AQ25:AQ32">IF($P25=$AC$3,$AC$6/($AC$35*AW25)*$AC$16*60/1000,$AC$4/($AC$35*AW25)*$AC$16*60/1000)</f>
        <v>3.109</v>
      </c>
      <c r="AR25" s="128"/>
      <c r="AS25" s="129"/>
      <c r="AT25" s="137">
        <f>(AQ25-Q25)/(T25-Q25)</f>
        <v>0</v>
      </c>
      <c r="AU25" s="138"/>
      <c r="AV25" s="139"/>
      <c r="AW25" s="204">
        <f aca="true" t="shared" si="8" ref="AW25:AW32">IF(($P25&gt;$AC$3)+($AM25&lt;$AG25)+($AM25&gt;$AJ25),$Z25,$AM25)</f>
        <v>95.71157318746639</v>
      </c>
      <c r="AX25" s="205"/>
      <c r="AY25" s="206"/>
      <c r="AZ25" s="160">
        <v>0</v>
      </c>
      <c r="BA25" s="161"/>
      <c r="BB25" s="161"/>
      <c r="BC25" s="90"/>
      <c r="BF25" s="115" t="str">
        <f>F5&amp;" = "&amp;TEXT(G5,"0,00")</f>
        <v>TAUX AMORTISSEMENT AVANT = 5,81</v>
      </c>
    </row>
    <row r="26" spans="1:58" ht="12.75" customHeight="1">
      <c r="A26" s="89"/>
      <c r="B26" s="242" t="s">
        <v>32</v>
      </c>
      <c r="C26" s="243"/>
      <c r="D26" s="44">
        <v>15.43</v>
      </c>
      <c r="E26" s="3"/>
      <c r="F26" s="42" t="s">
        <v>114</v>
      </c>
      <c r="G26" s="47" t="str">
        <f t="shared" si="4"/>
        <v>-</v>
      </c>
      <c r="H26" s="33"/>
      <c r="I26" s="47">
        <f>ROUND(12+3*D33,0)</f>
        <v>15</v>
      </c>
      <c r="J26" s="47" t="s">
        <v>37</v>
      </c>
      <c r="K26" s="47">
        <f>ROUND(12+3*D33,0)</f>
        <v>15</v>
      </c>
      <c r="L26" s="1"/>
      <c r="M26" s="3" t="s">
        <v>40</v>
      </c>
      <c r="N26" s="17">
        <v>0.2</v>
      </c>
      <c r="O26" s="5"/>
      <c r="P26" s="48">
        <v>2</v>
      </c>
      <c r="Q26" s="146">
        <v>2.202</v>
      </c>
      <c r="R26" s="147"/>
      <c r="S26" s="148"/>
      <c r="T26" s="149">
        <v>2.893</v>
      </c>
      <c r="U26" s="149"/>
      <c r="V26" s="149"/>
      <c r="W26" s="203">
        <f>(T26-Q26)*VLOOKUP($P$20,$P$38:$AZ$47,17,FALSE)+Q26</f>
        <v>2.3747499999999997</v>
      </c>
      <c r="X26" s="203"/>
      <c r="Y26" s="203"/>
      <c r="Z26" s="197">
        <f t="shared" si="6"/>
        <v>125.30467671958439</v>
      </c>
      <c r="AA26" s="197"/>
      <c r="AB26" s="197"/>
      <c r="AC26" s="197">
        <f aca="true" t="shared" si="9" ref="AC26:AC32">$AC$4*W26/W25</f>
        <v>6263.412672885172</v>
      </c>
      <c r="AD26" s="197"/>
      <c r="AE26" s="197"/>
      <c r="AF26" s="23"/>
      <c r="AG26" s="164">
        <f aca="true" t="shared" si="10" ref="AG26:AG32">IF(P26=$AC$3,ROUND($AC$6/($AC$35*$T26)*$AC$16*60/1000+0.5,0),ROUND($AC$4/($AC$35*$T26)*$AC$16*60/1000+0.5,0))</f>
        <v>103</v>
      </c>
      <c r="AH26" s="164"/>
      <c r="AI26" s="164"/>
      <c r="AJ26" s="164">
        <f aca="true" t="shared" si="11" ref="AJ26:AJ32">IF(P26=$AC$3,ROUND($AC$6/($AC$35*$Q26)*$AC$16*60/1000-0.5,0),ROUND($AC$4/($AC$35*$Q26)*$AC$16*60/1000-0.5,0))</f>
        <v>135</v>
      </c>
      <c r="AK26" s="164"/>
      <c r="AL26" s="164"/>
      <c r="AM26" s="136"/>
      <c r="AN26" s="136"/>
      <c r="AO26" s="136"/>
      <c r="AP26" s="159"/>
      <c r="AQ26" s="124">
        <f t="shared" si="7"/>
        <v>2.37475</v>
      </c>
      <c r="AR26" s="125"/>
      <c r="AS26" s="126"/>
      <c r="AT26" s="116">
        <f aca="true" t="shared" si="12" ref="AT26:AT32">(AQ26-Q26)/(T26-Q26)</f>
        <v>0.25000000000000033</v>
      </c>
      <c r="AU26" s="117"/>
      <c r="AV26" s="118"/>
      <c r="AW26" s="132">
        <f t="shared" si="8"/>
        <v>125.30467671958439</v>
      </c>
      <c r="AX26" s="133"/>
      <c r="AY26" s="134"/>
      <c r="AZ26" s="201">
        <f aca="true" t="shared" si="13" ref="AZ26:AZ32">$AC$4*AQ26/AQ25</f>
        <v>6263.4126728851725</v>
      </c>
      <c r="BA26" s="202"/>
      <c r="BB26" s="202"/>
      <c r="BC26" s="90"/>
      <c r="BF26" s="115" t="str">
        <f>F6&amp;" = "&amp;TEXT(G6,"0,00")</f>
        <v>TAUX AMORTISSEMENT ARRIERE = 7,26</v>
      </c>
    </row>
    <row r="27" spans="1:58" ht="12.75" customHeight="1">
      <c r="A27" s="89"/>
      <c r="B27" s="94"/>
      <c r="C27" s="94"/>
      <c r="D27" s="94"/>
      <c r="E27" s="22"/>
      <c r="F27" s="18" t="s">
        <v>115</v>
      </c>
      <c r="G27" s="19" t="str">
        <f t="shared" si="4"/>
        <v>-</v>
      </c>
      <c r="H27" s="33"/>
      <c r="I27" s="19">
        <f>ROUND((D30-10)/-10*8*(8+2*D33)*POWER((N16-0.65),2)+4+D33,0)</f>
        <v>7</v>
      </c>
      <c r="J27" s="19" t="s">
        <v>37</v>
      </c>
      <c r="K27" s="19">
        <f>ROUND((D30-10)/-10*8*(8+2*D33)*POWER((N16-0.65),2)+4+D33,0)</f>
        <v>7</v>
      </c>
      <c r="L27" s="1"/>
      <c r="M27" s="3" t="s">
        <v>42</v>
      </c>
      <c r="N27" s="17">
        <v>0.2</v>
      </c>
      <c r="O27" s="5"/>
      <c r="P27" s="48">
        <v>3</v>
      </c>
      <c r="Q27" s="146">
        <v>1.652</v>
      </c>
      <c r="R27" s="147"/>
      <c r="S27" s="148"/>
      <c r="T27" s="149">
        <v>2.072</v>
      </c>
      <c r="U27" s="149"/>
      <c r="V27" s="149"/>
      <c r="W27" s="203">
        <f>(T27-Q27)*VLOOKUP($P$20,$P$38:$AZ$47,20,FALSE)+Q27</f>
        <v>1.862</v>
      </c>
      <c r="X27" s="203"/>
      <c r="Y27" s="203"/>
      <c r="Z27" s="197">
        <f t="shared" si="6"/>
        <v>159.81056983879324</v>
      </c>
      <c r="AA27" s="197"/>
      <c r="AB27" s="197"/>
      <c r="AC27" s="197">
        <f t="shared" si="9"/>
        <v>6429.476787030215</v>
      </c>
      <c r="AD27" s="197"/>
      <c r="AE27" s="197"/>
      <c r="AF27" s="23"/>
      <c r="AG27" s="164">
        <f t="shared" si="10"/>
        <v>144</v>
      </c>
      <c r="AH27" s="164"/>
      <c r="AI27" s="164"/>
      <c r="AJ27" s="164">
        <f t="shared" si="11"/>
        <v>180</v>
      </c>
      <c r="AK27" s="164"/>
      <c r="AL27" s="164"/>
      <c r="AM27" s="136"/>
      <c r="AN27" s="136"/>
      <c r="AO27" s="136"/>
      <c r="AP27" s="159"/>
      <c r="AQ27" s="124">
        <f t="shared" si="7"/>
        <v>1.8620000000000003</v>
      </c>
      <c r="AR27" s="125"/>
      <c r="AS27" s="126"/>
      <c r="AT27" s="116">
        <f t="shared" si="12"/>
        <v>0.5000000000000008</v>
      </c>
      <c r="AU27" s="117"/>
      <c r="AV27" s="118"/>
      <c r="AW27" s="132">
        <f t="shared" si="8"/>
        <v>159.81056983879324</v>
      </c>
      <c r="AX27" s="133"/>
      <c r="AY27" s="134"/>
      <c r="AZ27" s="201">
        <f t="shared" si="13"/>
        <v>6429.476787030215</v>
      </c>
      <c r="BA27" s="202"/>
      <c r="BB27" s="202"/>
      <c r="BC27" s="90"/>
      <c r="BF27" s="115" t="str">
        <f t="shared" si="5"/>
        <v>AMORT. AVANT (COMPR.) = 6</v>
      </c>
    </row>
    <row r="28" spans="1:58" ht="12.75" customHeight="1">
      <c r="A28" s="89"/>
      <c r="B28" s="235" t="s">
        <v>132</v>
      </c>
      <c r="C28" s="235"/>
      <c r="D28" s="235"/>
      <c r="E28" s="22"/>
      <c r="F28" s="11" t="s">
        <v>116</v>
      </c>
      <c r="G28" s="13">
        <f t="shared" si="4"/>
        <v>7</v>
      </c>
      <c r="H28" s="9"/>
      <c r="I28" s="13" t="s">
        <v>37</v>
      </c>
      <c r="J28" s="13">
        <f>ROUND((D30-14/3)/(-14/3)*16/3*(6+9*D33)*POWER((N16-0.65),2)+2+3*D33,0)</f>
        <v>7</v>
      </c>
      <c r="K28" s="13">
        <f>ROUND((D30-14/3)/(-14/3)*16/3*(6+9*D33)*POWER((N16-0.65),2)+2+3*D33,0)</f>
        <v>7</v>
      </c>
      <c r="L28" s="10"/>
      <c r="M28" s="94"/>
      <c r="N28" s="94"/>
      <c r="O28" s="5"/>
      <c r="P28" s="48">
        <v>4</v>
      </c>
      <c r="Q28" s="146">
        <v>1.306</v>
      </c>
      <c r="R28" s="147"/>
      <c r="S28" s="148"/>
      <c r="T28" s="149">
        <v>1.571</v>
      </c>
      <c r="U28" s="149"/>
      <c r="V28" s="149"/>
      <c r="W28" s="203">
        <f>(T28-Q28)*VLOOKUP($P$20,$P$38:$AZ$47,23,FALSE)+Q28</f>
        <v>1.50475</v>
      </c>
      <c r="X28" s="203"/>
      <c r="Y28" s="203"/>
      <c r="Z28" s="197">
        <f t="shared" si="6"/>
        <v>197.75197277942056</v>
      </c>
      <c r="AA28" s="197"/>
      <c r="AB28" s="197"/>
      <c r="AC28" s="197">
        <f t="shared" si="9"/>
        <v>6626.71858216971</v>
      </c>
      <c r="AD28" s="197"/>
      <c r="AE28" s="197"/>
      <c r="AF28" s="23"/>
      <c r="AG28" s="164">
        <f t="shared" si="10"/>
        <v>190</v>
      </c>
      <c r="AH28" s="164"/>
      <c r="AI28" s="164"/>
      <c r="AJ28" s="164">
        <f t="shared" si="11"/>
        <v>227</v>
      </c>
      <c r="AK28" s="164"/>
      <c r="AL28" s="164"/>
      <c r="AM28" s="136"/>
      <c r="AN28" s="136"/>
      <c r="AO28" s="136"/>
      <c r="AP28" s="159"/>
      <c r="AQ28" s="124">
        <f t="shared" si="7"/>
        <v>1.5047499999999998</v>
      </c>
      <c r="AR28" s="125"/>
      <c r="AS28" s="126"/>
      <c r="AT28" s="116">
        <f t="shared" si="12"/>
        <v>0.7499999999999993</v>
      </c>
      <c r="AU28" s="117"/>
      <c r="AV28" s="118"/>
      <c r="AW28" s="132">
        <f t="shared" si="8"/>
        <v>197.75197277942056</v>
      </c>
      <c r="AX28" s="133"/>
      <c r="AY28" s="134"/>
      <c r="AZ28" s="201">
        <f t="shared" si="13"/>
        <v>6626.7185821697085</v>
      </c>
      <c r="BA28" s="202"/>
      <c r="BB28" s="202"/>
      <c r="BC28" s="90"/>
      <c r="BF28" s="115" t="str">
        <f t="shared" si="5"/>
        <v>AMORT. ARRIERE (COMPR.) = 6</v>
      </c>
    </row>
    <row r="29" spans="1:58" ht="12.75" customHeight="1">
      <c r="A29" s="89"/>
      <c r="B29" s="231" t="s">
        <v>36</v>
      </c>
      <c r="C29" s="231"/>
      <c r="D29" s="49">
        <v>2</v>
      </c>
      <c r="E29" s="91"/>
      <c r="F29" s="42" t="s">
        <v>117</v>
      </c>
      <c r="G29" s="47">
        <f t="shared" si="4"/>
        <v>15</v>
      </c>
      <c r="H29" s="9"/>
      <c r="I29" s="47" t="s">
        <v>37</v>
      </c>
      <c r="J29" s="47">
        <f>ROUND(6+9*D33,0)</f>
        <v>15</v>
      </c>
      <c r="K29" s="47">
        <f>ROUND(6+9*D33,0)</f>
        <v>15</v>
      </c>
      <c r="L29" s="10"/>
      <c r="M29" s="95"/>
      <c r="N29" s="95"/>
      <c r="O29" s="5"/>
      <c r="P29" s="48">
        <v>5</v>
      </c>
      <c r="Q29" s="146">
        <v>0.936</v>
      </c>
      <c r="R29" s="147"/>
      <c r="S29" s="148"/>
      <c r="T29" s="149">
        <v>1.255</v>
      </c>
      <c r="U29" s="149"/>
      <c r="V29" s="149"/>
      <c r="W29" s="203">
        <f>(T29-Q29)*VLOOKUP($P$20,$P$38:$AZ$47,26,FALSE)+Q29</f>
        <v>1.255</v>
      </c>
      <c r="X29" s="203"/>
      <c r="Y29" s="203"/>
      <c r="Z29" s="197">
        <f t="shared" si="6"/>
        <v>239.99693252653913</v>
      </c>
      <c r="AA29" s="197"/>
      <c r="AB29" s="197"/>
      <c r="AC29" s="197">
        <f t="shared" si="9"/>
        <v>6839.00980229274</v>
      </c>
      <c r="AD29" s="197"/>
      <c r="AE29" s="197"/>
      <c r="AF29" s="23"/>
      <c r="AG29" s="164">
        <f t="shared" si="10"/>
        <v>240</v>
      </c>
      <c r="AH29" s="164"/>
      <c r="AI29" s="164"/>
      <c r="AJ29" s="164">
        <f t="shared" si="11"/>
        <v>321</v>
      </c>
      <c r="AK29" s="164"/>
      <c r="AL29" s="164"/>
      <c r="AM29" s="136"/>
      <c r="AN29" s="136"/>
      <c r="AO29" s="136"/>
      <c r="AP29" s="159"/>
      <c r="AQ29" s="124">
        <f t="shared" si="7"/>
        <v>1.255</v>
      </c>
      <c r="AR29" s="125"/>
      <c r="AS29" s="126"/>
      <c r="AT29" s="116">
        <f t="shared" si="12"/>
        <v>1</v>
      </c>
      <c r="AU29" s="117"/>
      <c r="AV29" s="118"/>
      <c r="AW29" s="132">
        <f t="shared" si="8"/>
        <v>239.99693252653913</v>
      </c>
      <c r="AX29" s="133"/>
      <c r="AY29" s="134"/>
      <c r="AZ29" s="201">
        <f t="shared" si="13"/>
        <v>6839.0098022927405</v>
      </c>
      <c r="BA29" s="202"/>
      <c r="BB29" s="202"/>
      <c r="BC29" s="90"/>
      <c r="BF29" s="115" t="str">
        <f t="shared" si="5"/>
        <v>AMORT. AVANT (EXTENS.) = 6</v>
      </c>
    </row>
    <row r="30" spans="1:58" ht="12.75" customHeight="1">
      <c r="A30" s="89"/>
      <c r="B30" s="236" t="s">
        <v>39</v>
      </c>
      <c r="C30" s="236"/>
      <c r="D30" s="39">
        <v>0</v>
      </c>
      <c r="E30" s="3"/>
      <c r="F30" s="18" t="s">
        <v>118</v>
      </c>
      <c r="G30" s="19">
        <f t="shared" si="4"/>
        <v>9</v>
      </c>
      <c r="H30" s="33"/>
      <c r="I30" s="19" t="s">
        <v>37</v>
      </c>
      <c r="J30" s="19">
        <f>ROUND((D30-14/3)/(-14/3)*32/3*(6+9*D33)*POWER((N16-0.65),2)+2+3*D33,0)</f>
        <v>9</v>
      </c>
      <c r="K30" s="19">
        <f>ROUND((D30-14/3)/(-14/3)*32/3*(6+9*D33)*POWER((N16-0.65),2)+2+3*D33,0)</f>
        <v>9</v>
      </c>
      <c r="L30" s="1"/>
      <c r="M30" s="95"/>
      <c r="N30" s="95"/>
      <c r="O30" s="5"/>
      <c r="P30" s="48">
        <v>6</v>
      </c>
      <c r="Q30" s="146">
        <v>1.045</v>
      </c>
      <c r="R30" s="147"/>
      <c r="S30" s="148"/>
      <c r="T30" s="149">
        <v>1.178</v>
      </c>
      <c r="U30" s="149"/>
      <c r="V30" s="149"/>
      <c r="W30" s="203">
        <f>(T30-Q30)*VLOOKUP($P$20,$P$38:$AZ$47,29,FALSE)+Q30</f>
        <v>1.17401</v>
      </c>
      <c r="X30" s="203"/>
      <c r="Y30" s="203"/>
      <c r="Z30" s="197">
        <f t="shared" si="6"/>
        <v>253.46230529538335</v>
      </c>
      <c r="AA30" s="197"/>
      <c r="AB30" s="197"/>
      <c r="AC30" s="197">
        <f t="shared" si="9"/>
        <v>7670.822310756972</v>
      </c>
      <c r="AD30" s="197"/>
      <c r="AE30" s="197"/>
      <c r="AF30" s="23"/>
      <c r="AG30" s="164">
        <f t="shared" si="10"/>
        <v>253</v>
      </c>
      <c r="AH30" s="164"/>
      <c r="AI30" s="164"/>
      <c r="AJ30" s="164">
        <f t="shared" si="11"/>
        <v>284</v>
      </c>
      <c r="AK30" s="164"/>
      <c r="AL30" s="164"/>
      <c r="AM30" s="136"/>
      <c r="AN30" s="136"/>
      <c r="AO30" s="136"/>
      <c r="AP30" s="159"/>
      <c r="AQ30" s="124">
        <f t="shared" si="7"/>
        <v>1.1740100000000002</v>
      </c>
      <c r="AR30" s="125"/>
      <c r="AS30" s="126"/>
      <c r="AT30" s="116">
        <f t="shared" si="12"/>
        <v>0.9700000000000021</v>
      </c>
      <c r="AU30" s="117"/>
      <c r="AV30" s="118"/>
      <c r="AW30" s="132">
        <f t="shared" si="8"/>
        <v>253.46230529538335</v>
      </c>
      <c r="AX30" s="133"/>
      <c r="AY30" s="134"/>
      <c r="AZ30" s="201">
        <f t="shared" si="13"/>
        <v>7670.822310756974</v>
      </c>
      <c r="BA30" s="202"/>
      <c r="BB30" s="202"/>
      <c r="BC30" s="90"/>
      <c r="BF30" s="115" t="str">
        <f t="shared" si="5"/>
        <v>AMORT. ARRIERE (EXTENS.) = 6</v>
      </c>
    </row>
    <row r="31" spans="1:58" ht="12.75" customHeight="1">
      <c r="A31" s="89"/>
      <c r="B31" s="237" t="s">
        <v>41</v>
      </c>
      <c r="C31" s="237"/>
      <c r="D31" s="40">
        <v>-3</v>
      </c>
      <c r="E31" s="51"/>
      <c r="F31" s="1"/>
      <c r="G31" s="1"/>
      <c r="H31" s="33"/>
      <c r="I31" s="1"/>
      <c r="J31" s="1"/>
      <c r="K31" s="1"/>
      <c r="L31" s="1"/>
      <c r="M31" s="95"/>
      <c r="N31" s="95"/>
      <c r="O31" s="5"/>
      <c r="P31" s="48">
        <v>7</v>
      </c>
      <c r="Q31" s="207">
        <v>0.783</v>
      </c>
      <c r="R31" s="208"/>
      <c r="S31" s="209"/>
      <c r="T31" s="210">
        <v>1.018</v>
      </c>
      <c r="U31" s="210"/>
      <c r="V31" s="210"/>
      <c r="W31" s="203">
        <f>(T31-Q31)*VLOOKUP($P$20,$P$38:$AZ$47,32,FALSE)+Q31</f>
        <v>1.018</v>
      </c>
      <c r="X31" s="203"/>
      <c r="Y31" s="203"/>
      <c r="Z31" s="197">
        <f t="shared" si="6"/>
        <v>292.3057770528812</v>
      </c>
      <c r="AA31" s="197"/>
      <c r="AB31" s="197"/>
      <c r="AC31" s="197">
        <f t="shared" si="9"/>
        <v>7110.331257825743</v>
      </c>
      <c r="AD31" s="197"/>
      <c r="AE31" s="197"/>
      <c r="AF31" s="23"/>
      <c r="AG31" s="164">
        <f t="shared" si="10"/>
        <v>293</v>
      </c>
      <c r="AH31" s="164"/>
      <c r="AI31" s="164"/>
      <c r="AJ31" s="164">
        <f t="shared" si="11"/>
        <v>380</v>
      </c>
      <c r="AK31" s="164"/>
      <c r="AL31" s="164"/>
      <c r="AM31" s="136"/>
      <c r="AN31" s="136"/>
      <c r="AO31" s="136"/>
      <c r="AP31" s="159"/>
      <c r="AQ31" s="203">
        <f t="shared" si="7"/>
        <v>1.0179999999999998</v>
      </c>
      <c r="AR31" s="203"/>
      <c r="AS31" s="203"/>
      <c r="AT31" s="116">
        <f t="shared" si="12"/>
        <v>0.999999999999999</v>
      </c>
      <c r="AU31" s="117"/>
      <c r="AV31" s="118"/>
      <c r="AW31" s="132">
        <f t="shared" si="8"/>
        <v>292.3057770528812</v>
      </c>
      <c r="AX31" s="133"/>
      <c r="AY31" s="134"/>
      <c r="AZ31" s="201">
        <f t="shared" si="13"/>
        <v>7110.33125782574</v>
      </c>
      <c r="BA31" s="202"/>
      <c r="BB31" s="202"/>
      <c r="BC31" s="90"/>
      <c r="BF31" s="115" t="str">
        <f t="shared" si="5"/>
        <v>BAR ANTI-ROULI AVANT = 3</v>
      </c>
    </row>
    <row r="32" spans="1:58" ht="12.75" customHeight="1">
      <c r="A32" s="89"/>
      <c r="B32" s="232" t="s">
        <v>43</v>
      </c>
      <c r="C32" s="232"/>
      <c r="D32" s="52">
        <v>1</v>
      </c>
      <c r="E32" s="51"/>
      <c r="F32" s="7" t="s">
        <v>122</v>
      </c>
      <c r="G32" s="8" t="str">
        <f>IF($D$14="FF",I32,IF($D$14="4WD",K32,J32))</f>
        <v>RWD</v>
      </c>
      <c r="H32" s="33"/>
      <c r="I32" s="8" t="s">
        <v>93</v>
      </c>
      <c r="J32" s="8" t="s">
        <v>94</v>
      </c>
      <c r="K32" s="8" t="s">
        <v>95</v>
      </c>
      <c r="L32" s="1"/>
      <c r="M32" s="95"/>
      <c r="N32" s="95"/>
      <c r="O32" s="5"/>
      <c r="P32" s="53">
        <v>8</v>
      </c>
      <c r="Q32" s="211">
        <v>0.6</v>
      </c>
      <c r="R32" s="212"/>
      <c r="S32" s="213"/>
      <c r="T32" s="214">
        <v>0.7</v>
      </c>
      <c r="U32" s="214"/>
      <c r="V32" s="214"/>
      <c r="W32" s="215">
        <f>(T32-Q32)*VLOOKUP($P$20,$P$38:$AZ$47,35,FALSE)+Q32</f>
        <v>0.7</v>
      </c>
      <c r="X32" s="215"/>
      <c r="Y32" s="215"/>
      <c r="Z32" s="216">
        <f t="shared" si="6"/>
        <v>425.0961157711901</v>
      </c>
      <c r="AA32" s="216"/>
      <c r="AB32" s="216"/>
      <c r="AC32" s="216">
        <f t="shared" si="9"/>
        <v>5638.506876227898</v>
      </c>
      <c r="AD32" s="216"/>
      <c r="AE32" s="216"/>
      <c r="AF32" s="23"/>
      <c r="AG32" s="200">
        <f t="shared" si="10"/>
        <v>426</v>
      </c>
      <c r="AH32" s="200"/>
      <c r="AI32" s="200"/>
      <c r="AJ32" s="200">
        <f t="shared" si="11"/>
        <v>495</v>
      </c>
      <c r="AK32" s="200"/>
      <c r="AL32" s="200"/>
      <c r="AM32" s="220"/>
      <c r="AN32" s="220"/>
      <c r="AO32" s="220"/>
      <c r="AP32" s="159"/>
      <c r="AQ32" s="215">
        <f t="shared" si="7"/>
        <v>0.6999999999999998</v>
      </c>
      <c r="AR32" s="215"/>
      <c r="AS32" s="215"/>
      <c r="AT32" s="119">
        <f t="shared" si="12"/>
        <v>0.9999999999999989</v>
      </c>
      <c r="AU32" s="120"/>
      <c r="AV32" s="121"/>
      <c r="AW32" s="222">
        <f t="shared" si="8"/>
        <v>425.0961157711901</v>
      </c>
      <c r="AX32" s="223"/>
      <c r="AY32" s="224"/>
      <c r="AZ32" s="217">
        <f t="shared" si="13"/>
        <v>5638.506876227898</v>
      </c>
      <c r="BA32" s="218"/>
      <c r="BB32" s="218"/>
      <c r="BC32" s="90"/>
      <c r="BF32" s="115" t="str">
        <f t="shared" si="5"/>
        <v>BAR ANTI-ROULI ARRIERE = 3</v>
      </c>
    </row>
    <row r="33" spans="1:58" ht="12.75" customHeight="1">
      <c r="A33" s="89"/>
      <c r="B33" s="231" t="s">
        <v>126</v>
      </c>
      <c r="C33" s="231"/>
      <c r="D33" s="49">
        <v>1</v>
      </c>
      <c r="E33" s="22"/>
      <c r="F33" s="11" t="s">
        <v>111</v>
      </c>
      <c r="G33" s="54" t="str">
        <f>IF($D$14="FF",I33,IF($D$14="4WD",K33,J33))</f>
        <v>-</v>
      </c>
      <c r="H33" s="33"/>
      <c r="I33" s="54" t="s">
        <v>37</v>
      </c>
      <c r="J33" s="54" t="s">
        <v>37</v>
      </c>
      <c r="K33" s="13">
        <f>ROUND(45-30*(ROUND(D31,0)+3)/6,0)</f>
        <v>45</v>
      </c>
      <c r="L33" s="1"/>
      <c r="M33" s="95"/>
      <c r="N33" s="95"/>
      <c r="O33" s="5"/>
      <c r="P33" s="196" t="s">
        <v>85</v>
      </c>
      <c r="Q33" s="196"/>
      <c r="R33" s="196"/>
      <c r="S33" s="196"/>
      <c r="T33" s="196"/>
      <c r="U33" s="196"/>
      <c r="V33" s="196"/>
      <c r="W33" s="196"/>
      <c r="X33" s="196"/>
      <c r="Y33" s="196"/>
      <c r="Z33" s="196">
        <f ca="1">ROUND((AC6/(AC10*OFFSET(W25,AC3-1,0))*AC16*60/1000)+0.5,0)</f>
        <v>143</v>
      </c>
      <c r="AA33" s="196"/>
      <c r="AB33" s="196"/>
      <c r="AC33" s="196">
        <f ca="1">ROUND((AC6/(AC9*OFFSET(W25,AC3-1,0))*AC16*60/1000)-0.5,0)</f>
        <v>314</v>
      </c>
      <c r="AD33" s="196"/>
      <c r="AE33" s="196"/>
      <c r="AF33" s="23"/>
      <c r="AG33" s="23"/>
      <c r="AH33" s="23"/>
      <c r="AI33" s="23"/>
      <c r="AJ33" s="23"/>
      <c r="AK33" s="23"/>
      <c r="AL33" s="23"/>
      <c r="AM33" s="96" t="s">
        <v>91</v>
      </c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90"/>
      <c r="BF33" s="109"/>
    </row>
    <row r="34" spans="1:58" ht="12.75" customHeight="1">
      <c r="A34" s="89"/>
      <c r="B34" s="94"/>
      <c r="C34" s="94"/>
      <c r="D34" s="94"/>
      <c r="E34" s="22"/>
      <c r="F34" s="18" t="s">
        <v>112</v>
      </c>
      <c r="G34" s="55" t="str">
        <f>IF($D$14="FF",I34,IF($D$14="4WD",K34,J34))</f>
        <v>-</v>
      </c>
      <c r="H34" s="33"/>
      <c r="I34" s="55" t="s">
        <v>37</v>
      </c>
      <c r="J34" s="55" t="s">
        <v>37</v>
      </c>
      <c r="K34" s="19">
        <f>ROUND(55+30*(ROUND(D31,0)+3)/6,0)</f>
        <v>55</v>
      </c>
      <c r="L34" s="1"/>
      <c r="M34" s="95"/>
      <c r="N34" s="95"/>
      <c r="O34" s="5"/>
      <c r="P34" s="169" t="s">
        <v>86</v>
      </c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219">
        <v>240</v>
      </c>
      <c r="AD34" s="219"/>
      <c r="AE34" s="219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90"/>
      <c r="BF34" s="113" t="s">
        <v>163</v>
      </c>
    </row>
    <row r="35" spans="1:58" ht="12.75" customHeight="1">
      <c r="A35" s="89"/>
      <c r="B35" s="235" t="s">
        <v>127</v>
      </c>
      <c r="C35" s="235"/>
      <c r="D35" s="235"/>
      <c r="E35" s="21"/>
      <c r="F35" s="1"/>
      <c r="G35" s="1"/>
      <c r="H35" s="33"/>
      <c r="I35" s="1"/>
      <c r="J35" s="1"/>
      <c r="K35" s="1"/>
      <c r="L35" s="1"/>
      <c r="M35" s="95"/>
      <c r="N35" s="95"/>
      <c r="O35" s="5"/>
      <c r="P35" s="194" t="s">
        <v>158</v>
      </c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221">
        <f ca="1">ROUND(AC6/(AC34*OFFSET(W25,AC3-1,0))*AC16*60/1000,3)</f>
        <v>3.273</v>
      </c>
      <c r="AD35" s="221"/>
      <c r="AE35" s="221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90"/>
      <c r="BF35" s="115" t="str">
        <f>F15&amp;" = "&amp;" = "&amp;TEXT(G15,"0,0")</f>
        <v>ANGLE CARROSSAGE AVANT =  = 0,9</v>
      </c>
    </row>
    <row r="36" spans="1:58" ht="12.75" customHeight="1">
      <c r="A36" s="89"/>
      <c r="B36" s="236" t="s">
        <v>44</v>
      </c>
      <c r="C36" s="236"/>
      <c r="D36" s="39">
        <v>0</v>
      </c>
      <c r="E36" s="3"/>
      <c r="F36" s="7" t="s">
        <v>157</v>
      </c>
      <c r="G36" s="8" t="str">
        <f>IF($D$14="FF",I36,IF($D$14="4WD",K36,J36))</f>
        <v>RWD</v>
      </c>
      <c r="H36" s="33"/>
      <c r="I36" s="8" t="s">
        <v>93</v>
      </c>
      <c r="J36" s="8" t="s">
        <v>94</v>
      </c>
      <c r="K36" s="8" t="s">
        <v>95</v>
      </c>
      <c r="L36" s="1"/>
      <c r="M36" s="95"/>
      <c r="N36" s="95"/>
      <c r="O36" s="5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90"/>
      <c r="BF36" s="115" t="str">
        <f>F16&amp;" = "&amp;" = "&amp;TEXT(G16,"0,0")</f>
        <v>ANGLE CARROSSAGE ARRIERE =  = 1,1</v>
      </c>
    </row>
    <row r="37" spans="1:58" ht="12.75" customHeight="1">
      <c r="A37" s="89"/>
      <c r="B37" s="237" t="s">
        <v>45</v>
      </c>
      <c r="C37" s="237"/>
      <c r="D37" s="40">
        <v>0</v>
      </c>
      <c r="E37" s="3"/>
      <c r="F37" s="11" t="s">
        <v>111</v>
      </c>
      <c r="G37" s="56">
        <f>IF($D$14="FF",I37,IF($D$14="4WD",K37,J37))</f>
        <v>0</v>
      </c>
      <c r="H37" s="33"/>
      <c r="I37" s="56">
        <f>D36</f>
        <v>0</v>
      </c>
      <c r="J37" s="56">
        <f>D36</f>
        <v>0</v>
      </c>
      <c r="K37" s="56">
        <f>D36</f>
        <v>0</v>
      </c>
      <c r="L37" s="1"/>
      <c r="M37" s="95"/>
      <c r="N37" s="95"/>
      <c r="O37" s="5"/>
      <c r="P37" s="198" t="s">
        <v>138</v>
      </c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23"/>
      <c r="BB37" s="23"/>
      <c r="BC37" s="90"/>
      <c r="BF37" s="115" t="str">
        <f>F17&amp;" = "&amp;" = "&amp;TEXT(G17,"0,00")</f>
        <v>ANGLE ALIGNEMENT AVANT =  = -0,04</v>
      </c>
    </row>
    <row r="38" spans="1:58" ht="12.75" customHeight="1">
      <c r="A38" s="89"/>
      <c r="B38" s="94"/>
      <c r="C38" s="94"/>
      <c r="D38" s="94"/>
      <c r="E38" s="57"/>
      <c r="F38" s="18" t="s">
        <v>112</v>
      </c>
      <c r="G38" s="19">
        <f>IF($D$14="FF",I38,IF($D$14="4WD",K38,J38))</f>
        <v>0</v>
      </c>
      <c r="H38" s="33"/>
      <c r="I38" s="19">
        <f>ROUND(MIN((D36*(1-D13)/D13*13/7-D36)*(N3-3)/-3+D36,D37),0)</f>
        <v>0</v>
      </c>
      <c r="J38" s="19">
        <f>ROUND(MIN((D36*(1-D13)/D13*13/7-D36)*(N3-3)/-3+D36,D37),0)</f>
        <v>0</v>
      </c>
      <c r="K38" s="19">
        <f>ROUND(MIN((D36*(1-D13)/D13*13/7-D36)*(N3-3)/-3+D36,D37),0)</f>
        <v>0</v>
      </c>
      <c r="L38" s="1"/>
      <c r="M38" s="95"/>
      <c r="N38" s="95"/>
      <c r="O38" s="5"/>
      <c r="P38" s="225" t="s">
        <v>51</v>
      </c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228">
        <v>0</v>
      </c>
      <c r="AD38" s="228"/>
      <c r="AE38" s="228"/>
      <c r="AF38" s="228">
        <v>0.2</v>
      </c>
      <c r="AG38" s="228"/>
      <c r="AH38" s="228"/>
      <c r="AI38" s="228">
        <v>0.4</v>
      </c>
      <c r="AJ38" s="228"/>
      <c r="AK38" s="228"/>
      <c r="AL38" s="228">
        <v>0.6</v>
      </c>
      <c r="AM38" s="228"/>
      <c r="AN38" s="228"/>
      <c r="AO38" s="228">
        <v>0.8</v>
      </c>
      <c r="AP38" s="228"/>
      <c r="AQ38" s="228"/>
      <c r="AR38" s="228">
        <v>1</v>
      </c>
      <c r="AS38" s="228"/>
      <c r="AT38" s="228"/>
      <c r="AU38" s="228">
        <v>1</v>
      </c>
      <c r="AV38" s="228"/>
      <c r="AW38" s="228"/>
      <c r="AX38" s="228">
        <v>1</v>
      </c>
      <c r="AY38" s="228"/>
      <c r="AZ38" s="228"/>
      <c r="BA38" s="23"/>
      <c r="BB38" s="23"/>
      <c r="BC38" s="90"/>
      <c r="BF38" s="115" t="str">
        <f>F18&amp;" = "&amp;" = "&amp;TEXT(G18,"0,00")</f>
        <v>ANGLE ALIGNEMENT ARRIERE =  = 0,37</v>
      </c>
    </row>
    <row r="39" spans="1:58" ht="12.75" customHeight="1">
      <c r="A39" s="89"/>
      <c r="B39" s="235" t="s">
        <v>128</v>
      </c>
      <c r="C39" s="235"/>
      <c r="D39" s="235"/>
      <c r="E39" s="57"/>
      <c r="F39" s="91"/>
      <c r="G39" s="91"/>
      <c r="H39" s="33"/>
      <c r="I39" s="91"/>
      <c r="J39" s="91"/>
      <c r="K39" s="91"/>
      <c r="L39" s="1"/>
      <c r="M39" s="95"/>
      <c r="N39" s="95"/>
      <c r="O39" s="5"/>
      <c r="P39" s="225" t="s">
        <v>57</v>
      </c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228">
        <v>0</v>
      </c>
      <c r="AD39" s="228"/>
      <c r="AE39" s="228"/>
      <c r="AF39" s="228">
        <v>0.25</v>
      </c>
      <c r="AG39" s="228"/>
      <c r="AH39" s="228"/>
      <c r="AI39" s="228">
        <v>0.55</v>
      </c>
      <c r="AJ39" s="228"/>
      <c r="AK39" s="228"/>
      <c r="AL39" s="228">
        <v>0.85</v>
      </c>
      <c r="AM39" s="228"/>
      <c r="AN39" s="228"/>
      <c r="AO39" s="228">
        <v>1</v>
      </c>
      <c r="AP39" s="228"/>
      <c r="AQ39" s="228"/>
      <c r="AR39" s="228">
        <v>1</v>
      </c>
      <c r="AS39" s="228"/>
      <c r="AT39" s="228"/>
      <c r="AU39" s="228">
        <v>1</v>
      </c>
      <c r="AV39" s="228"/>
      <c r="AW39" s="228"/>
      <c r="AX39" s="228">
        <v>1</v>
      </c>
      <c r="AY39" s="228"/>
      <c r="AZ39" s="228"/>
      <c r="BA39" s="23"/>
      <c r="BB39" s="23"/>
      <c r="BC39" s="90"/>
      <c r="BF39" s="109"/>
    </row>
    <row r="40" spans="1:58" ht="12.75" customHeight="1">
      <c r="A40" s="89"/>
      <c r="B40" s="231" t="s">
        <v>46</v>
      </c>
      <c r="C40" s="231"/>
      <c r="D40" s="49" t="s">
        <v>47</v>
      </c>
      <c r="E40" s="91"/>
      <c r="F40" s="235" t="s">
        <v>133</v>
      </c>
      <c r="G40" s="235"/>
      <c r="H40" s="33"/>
      <c r="I40" s="97"/>
      <c r="J40" s="97"/>
      <c r="K40" s="97"/>
      <c r="L40" s="1"/>
      <c r="M40" s="95"/>
      <c r="N40" s="95"/>
      <c r="O40" s="5"/>
      <c r="P40" s="225" t="s">
        <v>58</v>
      </c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7"/>
      <c r="AC40" s="228">
        <v>0.5</v>
      </c>
      <c r="AD40" s="228"/>
      <c r="AE40" s="228"/>
      <c r="AF40" s="228">
        <v>0.6</v>
      </c>
      <c r="AG40" s="228"/>
      <c r="AH40" s="228"/>
      <c r="AI40" s="228">
        <v>0.7</v>
      </c>
      <c r="AJ40" s="228"/>
      <c r="AK40" s="228"/>
      <c r="AL40" s="228">
        <v>0.8</v>
      </c>
      <c r="AM40" s="228"/>
      <c r="AN40" s="228"/>
      <c r="AO40" s="228">
        <v>0.9</v>
      </c>
      <c r="AP40" s="228"/>
      <c r="AQ40" s="228"/>
      <c r="AR40" s="228">
        <v>1</v>
      </c>
      <c r="AS40" s="228"/>
      <c r="AT40" s="228"/>
      <c r="AU40" s="228">
        <v>1</v>
      </c>
      <c r="AV40" s="228"/>
      <c r="AW40" s="228"/>
      <c r="AX40" s="228">
        <v>1</v>
      </c>
      <c r="AY40" s="228"/>
      <c r="AZ40" s="228"/>
      <c r="BA40" s="23"/>
      <c r="BB40" s="23"/>
      <c r="BC40" s="90"/>
      <c r="BF40" s="113" t="s">
        <v>164</v>
      </c>
    </row>
    <row r="41" spans="1:58" ht="12.75" customHeight="1">
      <c r="A41" s="89"/>
      <c r="B41" s="231" t="s">
        <v>48</v>
      </c>
      <c r="C41" s="231"/>
      <c r="D41" s="49" t="s">
        <v>49</v>
      </c>
      <c r="E41" s="91"/>
      <c r="F41" s="244" t="s">
        <v>142</v>
      </c>
      <c r="G41" s="244"/>
      <c r="H41" s="33"/>
      <c r="I41" s="97"/>
      <c r="J41" s="97"/>
      <c r="K41" s="97"/>
      <c r="L41" s="1"/>
      <c r="M41" s="95"/>
      <c r="N41" s="95"/>
      <c r="O41" s="5"/>
      <c r="P41" s="225" t="s">
        <v>59</v>
      </c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4"/>
      <c r="AC41" s="181">
        <v>0</v>
      </c>
      <c r="AD41" s="182"/>
      <c r="AE41" s="183"/>
      <c r="AF41" s="181">
        <v>0.25</v>
      </c>
      <c r="AG41" s="182"/>
      <c r="AH41" s="183"/>
      <c r="AI41" s="181">
        <v>0.5</v>
      </c>
      <c r="AJ41" s="182"/>
      <c r="AK41" s="183"/>
      <c r="AL41" s="181">
        <v>0.75</v>
      </c>
      <c r="AM41" s="182"/>
      <c r="AN41" s="183"/>
      <c r="AO41" s="181">
        <v>1</v>
      </c>
      <c r="AP41" s="182"/>
      <c r="AQ41" s="183"/>
      <c r="AR41" s="181">
        <v>0.97</v>
      </c>
      <c r="AS41" s="182"/>
      <c r="AT41" s="183"/>
      <c r="AU41" s="181">
        <v>1</v>
      </c>
      <c r="AV41" s="182"/>
      <c r="AW41" s="183"/>
      <c r="AX41" s="181">
        <v>1</v>
      </c>
      <c r="AY41" s="182"/>
      <c r="AZ41" s="183"/>
      <c r="BA41" s="23"/>
      <c r="BB41" s="23"/>
      <c r="BC41" s="90"/>
      <c r="BF41" s="115" t="str">
        <f>F21&amp;" = "&amp;TEXT(G21,"0")</f>
        <v>AVANT = 5</v>
      </c>
    </row>
    <row r="42" spans="1:58" ht="12.75" customHeight="1">
      <c r="A42" s="89"/>
      <c r="B42" s="231" t="s">
        <v>124</v>
      </c>
      <c r="C42" s="231"/>
      <c r="D42" s="59" t="s">
        <v>50</v>
      </c>
      <c r="E42" s="91"/>
      <c r="F42" s="244"/>
      <c r="G42" s="244"/>
      <c r="H42" s="33"/>
      <c r="I42" s="97"/>
      <c r="J42" s="97"/>
      <c r="K42" s="97"/>
      <c r="L42" s="1"/>
      <c r="M42" s="95"/>
      <c r="N42" s="95"/>
      <c r="O42" s="5"/>
      <c r="P42" s="225" t="s">
        <v>60</v>
      </c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7"/>
      <c r="AC42" s="228">
        <v>0</v>
      </c>
      <c r="AD42" s="228"/>
      <c r="AE42" s="228"/>
      <c r="AF42" s="181">
        <v>0.2</v>
      </c>
      <c r="AG42" s="182"/>
      <c r="AH42" s="183"/>
      <c r="AI42" s="181">
        <v>0.4</v>
      </c>
      <c r="AJ42" s="182"/>
      <c r="AK42" s="183"/>
      <c r="AL42" s="181">
        <v>0.65</v>
      </c>
      <c r="AM42" s="182"/>
      <c r="AN42" s="183"/>
      <c r="AO42" s="181">
        <v>0.85</v>
      </c>
      <c r="AP42" s="182"/>
      <c r="AQ42" s="183"/>
      <c r="AR42" s="181">
        <v>1</v>
      </c>
      <c r="AS42" s="182"/>
      <c r="AT42" s="183"/>
      <c r="AU42" s="181">
        <v>1</v>
      </c>
      <c r="AV42" s="182"/>
      <c r="AW42" s="183"/>
      <c r="AX42" s="181">
        <v>1</v>
      </c>
      <c r="AY42" s="182"/>
      <c r="AZ42" s="183"/>
      <c r="BA42" s="23"/>
      <c r="BB42" s="23"/>
      <c r="BC42" s="90"/>
      <c r="BF42" s="115" t="str">
        <f>F22&amp;" = "&amp;TEXT(G22,"0")</f>
        <v>ARRIERE = 5</v>
      </c>
    </row>
    <row r="43" spans="1:58" ht="12.75" customHeight="1">
      <c r="A43" s="98"/>
      <c r="B43" s="94"/>
      <c r="C43" s="94"/>
      <c r="D43" s="94"/>
      <c r="E43" s="91"/>
      <c r="F43" s="244"/>
      <c r="G43" s="244"/>
      <c r="H43" s="61"/>
      <c r="I43" s="97"/>
      <c r="J43" s="97"/>
      <c r="K43" s="97"/>
      <c r="L43" s="60"/>
      <c r="M43" s="95"/>
      <c r="N43" s="95"/>
      <c r="O43" s="62"/>
      <c r="P43" s="225" t="s">
        <v>61</v>
      </c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7"/>
      <c r="AC43" s="181">
        <v>1</v>
      </c>
      <c r="AD43" s="182"/>
      <c r="AE43" s="183"/>
      <c r="AF43" s="181">
        <v>1</v>
      </c>
      <c r="AG43" s="182"/>
      <c r="AH43" s="183"/>
      <c r="AI43" s="181">
        <v>1</v>
      </c>
      <c r="AJ43" s="182"/>
      <c r="AK43" s="183"/>
      <c r="AL43" s="181">
        <v>1</v>
      </c>
      <c r="AM43" s="182"/>
      <c r="AN43" s="183"/>
      <c r="AO43" s="181">
        <v>1</v>
      </c>
      <c r="AP43" s="182"/>
      <c r="AQ43" s="183"/>
      <c r="AR43" s="181">
        <v>1</v>
      </c>
      <c r="AS43" s="182"/>
      <c r="AT43" s="183"/>
      <c r="AU43" s="181">
        <v>1</v>
      </c>
      <c r="AV43" s="182"/>
      <c r="AW43" s="183"/>
      <c r="AX43" s="181">
        <v>1</v>
      </c>
      <c r="AY43" s="182"/>
      <c r="AZ43" s="183"/>
      <c r="BA43" s="23"/>
      <c r="BB43" s="23"/>
      <c r="BC43" s="90"/>
      <c r="BF43" s="109"/>
    </row>
    <row r="44" spans="1:58" ht="12.75" customHeight="1">
      <c r="A44" s="98"/>
      <c r="B44" s="94"/>
      <c r="C44" s="94"/>
      <c r="D44" s="94"/>
      <c r="E44" s="91"/>
      <c r="F44" s="244"/>
      <c r="G44" s="244"/>
      <c r="H44" s="61"/>
      <c r="I44" s="97"/>
      <c r="J44" s="97"/>
      <c r="K44" s="97"/>
      <c r="L44" s="60"/>
      <c r="M44" s="95"/>
      <c r="N44" s="95"/>
      <c r="O44" s="62"/>
      <c r="P44" s="225" t="s">
        <v>125</v>
      </c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30"/>
      <c r="AC44" s="228">
        <v>0.2</v>
      </c>
      <c r="AD44" s="228"/>
      <c r="AE44" s="228"/>
      <c r="AF44" s="228">
        <v>0.3</v>
      </c>
      <c r="AG44" s="228"/>
      <c r="AH44" s="228"/>
      <c r="AI44" s="228">
        <v>0.5</v>
      </c>
      <c r="AJ44" s="228"/>
      <c r="AK44" s="228"/>
      <c r="AL44" s="228">
        <v>0.75</v>
      </c>
      <c r="AM44" s="228"/>
      <c r="AN44" s="228"/>
      <c r="AO44" s="228">
        <v>1</v>
      </c>
      <c r="AP44" s="228"/>
      <c r="AQ44" s="228"/>
      <c r="AR44" s="228">
        <v>1</v>
      </c>
      <c r="AS44" s="228"/>
      <c r="AT44" s="228"/>
      <c r="AU44" s="228">
        <v>1</v>
      </c>
      <c r="AV44" s="228"/>
      <c r="AW44" s="228"/>
      <c r="AX44" s="228">
        <v>1</v>
      </c>
      <c r="AY44" s="228"/>
      <c r="AZ44" s="228"/>
      <c r="BA44" s="23"/>
      <c r="BB44" s="23"/>
      <c r="BC44" s="90"/>
      <c r="BF44" s="113" t="s">
        <v>165</v>
      </c>
    </row>
    <row r="45" spans="1:58" ht="12.75" customHeight="1">
      <c r="A45" s="89"/>
      <c r="B45" s="94"/>
      <c r="C45" s="94"/>
      <c r="D45" s="94"/>
      <c r="E45" s="91"/>
      <c r="F45" s="244"/>
      <c r="G45" s="244"/>
      <c r="H45" s="33"/>
      <c r="I45" s="97"/>
      <c r="J45" s="97"/>
      <c r="K45" s="97"/>
      <c r="L45" s="1"/>
      <c r="M45" s="95"/>
      <c r="N45" s="95"/>
      <c r="O45" s="5"/>
      <c r="P45" s="225" t="s">
        <v>155</v>
      </c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7"/>
      <c r="AC45" s="228">
        <v>0.42</v>
      </c>
      <c r="AD45" s="228"/>
      <c r="AE45" s="228"/>
      <c r="AF45" s="228">
        <v>0.36</v>
      </c>
      <c r="AG45" s="228"/>
      <c r="AH45" s="228"/>
      <c r="AI45" s="228">
        <v>0.38</v>
      </c>
      <c r="AJ45" s="228"/>
      <c r="AK45" s="228"/>
      <c r="AL45" s="228">
        <v>0.38</v>
      </c>
      <c r="AM45" s="228"/>
      <c r="AN45" s="228"/>
      <c r="AO45" s="228">
        <v>0.65</v>
      </c>
      <c r="AP45" s="228"/>
      <c r="AQ45" s="228"/>
      <c r="AR45" s="228">
        <v>1</v>
      </c>
      <c r="AS45" s="228"/>
      <c r="AT45" s="228"/>
      <c r="AU45" s="228">
        <v>1</v>
      </c>
      <c r="AV45" s="228"/>
      <c r="AW45" s="228"/>
      <c r="AX45" s="228">
        <v>1</v>
      </c>
      <c r="AY45" s="228"/>
      <c r="AZ45" s="228"/>
      <c r="BA45" s="23"/>
      <c r="BB45" s="23"/>
      <c r="BC45" s="90"/>
      <c r="BF45" s="115" t="str">
        <f>P12&amp;" = "&amp;TEXT(AC12,"0,000")</f>
        <v>RAPPORT DE PONT A ENTRER = 4,750</v>
      </c>
    </row>
    <row r="46" spans="1:58" ht="12.75" customHeight="1">
      <c r="A46" s="89"/>
      <c r="B46" s="94"/>
      <c r="C46" s="94"/>
      <c r="D46" s="94"/>
      <c r="E46" s="63"/>
      <c r="F46" s="94"/>
      <c r="G46" s="94"/>
      <c r="H46" s="33"/>
      <c r="I46" s="94"/>
      <c r="J46" s="94"/>
      <c r="K46" s="94"/>
      <c r="L46" s="1"/>
      <c r="M46" s="95"/>
      <c r="N46" s="95"/>
      <c r="O46" s="5"/>
      <c r="P46" s="225" t="s">
        <v>62</v>
      </c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7"/>
      <c r="AC46" s="228">
        <v>0</v>
      </c>
      <c r="AD46" s="228"/>
      <c r="AE46" s="228"/>
      <c r="AF46" s="228">
        <v>0</v>
      </c>
      <c r="AG46" s="228"/>
      <c r="AH46" s="228"/>
      <c r="AI46" s="228">
        <v>0</v>
      </c>
      <c r="AJ46" s="228"/>
      <c r="AK46" s="228"/>
      <c r="AL46" s="228">
        <v>0</v>
      </c>
      <c r="AM46" s="228"/>
      <c r="AN46" s="228"/>
      <c r="AO46" s="228">
        <v>0</v>
      </c>
      <c r="AP46" s="228"/>
      <c r="AQ46" s="228"/>
      <c r="AR46" s="228">
        <v>0</v>
      </c>
      <c r="AS46" s="228"/>
      <c r="AT46" s="228"/>
      <c r="AU46" s="228">
        <v>0</v>
      </c>
      <c r="AV46" s="228"/>
      <c r="AW46" s="228"/>
      <c r="AX46" s="228">
        <v>0</v>
      </c>
      <c r="AY46" s="228"/>
      <c r="AZ46" s="228"/>
      <c r="BA46" s="23"/>
      <c r="BB46" s="23"/>
      <c r="BC46" s="90"/>
      <c r="BF46" s="115" t="str">
        <f>P13&amp;" = "&amp;TEXT(AC13,"0")</f>
        <v>VITESSE MINI REGLAGE AUTOMATIQUE = 180</v>
      </c>
    </row>
    <row r="47" spans="1:58" ht="12.75" customHeight="1">
      <c r="A47" s="99"/>
      <c r="B47" s="94"/>
      <c r="C47" s="94"/>
      <c r="D47" s="94"/>
      <c r="E47" s="94"/>
      <c r="F47" s="94"/>
      <c r="G47" s="95"/>
      <c r="H47" s="97"/>
      <c r="I47" s="95"/>
      <c r="J47" s="95"/>
      <c r="K47" s="95"/>
      <c r="L47" s="94"/>
      <c r="M47" s="95"/>
      <c r="N47" s="95"/>
      <c r="O47" s="100"/>
      <c r="P47" s="225" t="s">
        <v>63</v>
      </c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7"/>
      <c r="AC47" s="228">
        <v>0</v>
      </c>
      <c r="AD47" s="228"/>
      <c r="AE47" s="228"/>
      <c r="AF47" s="228">
        <v>0</v>
      </c>
      <c r="AG47" s="228"/>
      <c r="AH47" s="228"/>
      <c r="AI47" s="228">
        <v>0</v>
      </c>
      <c r="AJ47" s="228"/>
      <c r="AK47" s="228"/>
      <c r="AL47" s="228">
        <v>0</v>
      </c>
      <c r="AM47" s="228"/>
      <c r="AN47" s="228"/>
      <c r="AO47" s="228">
        <v>0</v>
      </c>
      <c r="AP47" s="228"/>
      <c r="AQ47" s="228"/>
      <c r="AR47" s="228">
        <v>0</v>
      </c>
      <c r="AS47" s="228"/>
      <c r="AT47" s="228"/>
      <c r="AU47" s="228">
        <v>0</v>
      </c>
      <c r="AV47" s="228"/>
      <c r="AW47" s="228"/>
      <c r="AX47" s="228">
        <v>0</v>
      </c>
      <c r="AY47" s="228"/>
      <c r="AZ47" s="228"/>
      <c r="BA47" s="23"/>
      <c r="BB47" s="23"/>
      <c r="BC47" s="90"/>
      <c r="BF47" s="113" t="s">
        <v>166</v>
      </c>
    </row>
    <row r="48" spans="1:58" ht="12.75" customHeight="1" thickBot="1">
      <c r="A48" s="101"/>
      <c r="B48" s="102"/>
      <c r="C48" s="102"/>
      <c r="D48" s="102"/>
      <c r="E48" s="102"/>
      <c r="F48" s="102"/>
      <c r="G48" s="103"/>
      <c r="H48" s="104"/>
      <c r="I48" s="103"/>
      <c r="J48" s="103"/>
      <c r="K48" s="103"/>
      <c r="L48" s="102"/>
      <c r="M48" s="103"/>
      <c r="N48" s="103"/>
      <c r="O48" s="105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7"/>
      <c r="BF48" s="115" t="str">
        <f>IF($AC$3&gt;=P25,P25&amp;"   ("&amp;ROUND(AW25,0)&amp;" km/H)"&amp;" = "&amp;TEXT(AQ25,"#,000"),"")</f>
        <v>1   (96 km/H) = 3,109</v>
      </c>
    </row>
    <row r="49" spans="7:58" ht="12.75" customHeight="1">
      <c r="G49" s="50"/>
      <c r="I49" s="50"/>
      <c r="J49" s="50"/>
      <c r="K49" s="50"/>
      <c r="M49" s="50"/>
      <c r="N49" s="50"/>
      <c r="BF49" s="115" t="str">
        <f aca="true" t="shared" si="14" ref="BF49:BF55">IF($AC$3&gt;=P26,P26&amp;"   ("&amp;ROUND(AW26,0)&amp;" km/H)"&amp;" = "&amp;TEXT(AQ26,"#,000"),"")</f>
        <v>2   (125 km/H) = 2,375</v>
      </c>
    </row>
    <row r="50" spans="7:58" ht="12.75" customHeight="1">
      <c r="G50" s="50"/>
      <c r="I50" s="50"/>
      <c r="J50" s="50"/>
      <c r="K50" s="50"/>
      <c r="M50" s="50"/>
      <c r="N50" s="50"/>
      <c r="BF50" s="115" t="str">
        <f t="shared" si="14"/>
        <v>3   (160 km/H) = 1,862</v>
      </c>
    </row>
    <row r="51" spans="7:58" ht="12.75" customHeight="1">
      <c r="G51" s="50"/>
      <c r="I51" s="50"/>
      <c r="J51" s="50"/>
      <c r="K51" s="50"/>
      <c r="M51" s="50"/>
      <c r="N51" s="50"/>
      <c r="BF51" s="115" t="str">
        <f t="shared" si="14"/>
        <v>4   (198 km/H) = 1,505</v>
      </c>
    </row>
    <row r="52" spans="7:58" ht="12.75" customHeight="1">
      <c r="G52" s="50"/>
      <c r="I52" s="50"/>
      <c r="J52" s="50"/>
      <c r="K52" s="50"/>
      <c r="M52" s="50"/>
      <c r="N52" s="50"/>
      <c r="BF52" s="115" t="str">
        <f t="shared" si="14"/>
        <v>5   (240 km/H) = 1,255</v>
      </c>
    </row>
    <row r="53" spans="7:58" ht="12.75" customHeight="1">
      <c r="G53" s="50"/>
      <c r="I53" s="50"/>
      <c r="J53" s="50"/>
      <c r="K53" s="50"/>
      <c r="M53" s="50"/>
      <c r="N53" s="50"/>
      <c r="BF53" s="115">
        <f t="shared" si="14"/>
      </c>
    </row>
    <row r="54" spans="7:58" ht="12.75" customHeight="1">
      <c r="G54" s="50"/>
      <c r="I54" s="50"/>
      <c r="J54" s="50"/>
      <c r="K54" s="50"/>
      <c r="M54" s="50"/>
      <c r="N54" s="50"/>
      <c r="BF54" s="115">
        <f t="shared" si="14"/>
      </c>
    </row>
    <row r="55" spans="7:58" ht="12.75" customHeight="1">
      <c r="G55" s="50"/>
      <c r="I55" s="50"/>
      <c r="J55" s="50"/>
      <c r="K55" s="50"/>
      <c r="M55" s="50"/>
      <c r="N55" s="50"/>
      <c r="BF55" s="115">
        <f t="shared" si="14"/>
      </c>
    </row>
    <row r="56" spans="7:58" ht="12.75" customHeight="1">
      <c r="G56" s="50"/>
      <c r="I56" s="50"/>
      <c r="J56" s="50"/>
      <c r="K56" s="50"/>
      <c r="M56" s="50"/>
      <c r="N56" s="50"/>
      <c r="BF56" s="115" t="str">
        <f>P35&amp;" = "&amp;TEXT(AC35,"#,000")</f>
        <v>(PONT) RAPPORT FINAL = 3,273</v>
      </c>
    </row>
    <row r="57" spans="7:58" ht="12.75" customHeight="1">
      <c r="G57" s="50"/>
      <c r="I57" s="50"/>
      <c r="J57" s="50"/>
      <c r="K57" s="50"/>
      <c r="M57" s="50"/>
      <c r="N57" s="50"/>
      <c r="BF57" s="109"/>
    </row>
    <row r="58" spans="7:58" ht="12.75" customHeight="1">
      <c r="G58" s="50"/>
      <c r="I58" s="50"/>
      <c r="J58" s="50"/>
      <c r="K58" s="50"/>
      <c r="M58" s="50"/>
      <c r="N58" s="50"/>
      <c r="BF58" s="113" t="s">
        <v>167</v>
      </c>
    </row>
    <row r="59" spans="7:58" ht="12.75" customHeight="1">
      <c r="G59" s="50"/>
      <c r="I59" s="50"/>
      <c r="J59" s="50"/>
      <c r="K59" s="50"/>
      <c r="M59" s="50"/>
      <c r="N59" s="50"/>
      <c r="BF59" s="115" t="str">
        <f aca="true" t="shared" si="15" ref="BF59:BF64">F25&amp;" = "&amp;TEXT(G25,"0")</f>
        <v>COUPLE INITIAL AVANT = -</v>
      </c>
    </row>
    <row r="60" spans="13:58" ht="12.75" customHeight="1">
      <c r="M60" s="50"/>
      <c r="N60" s="50"/>
      <c r="BF60" s="115" t="str">
        <f t="shared" si="15"/>
        <v>SENSIB. ACCELERATION AV. = -</v>
      </c>
    </row>
    <row r="61" spans="13:58" ht="12.75" customHeight="1">
      <c r="M61" s="50"/>
      <c r="N61" s="50"/>
      <c r="BF61" s="115" t="str">
        <f t="shared" si="15"/>
        <v>SENSIB. DES FREINS AVANT = -</v>
      </c>
    </row>
    <row r="62" spans="13:58" ht="12.75" customHeight="1">
      <c r="M62" s="50"/>
      <c r="N62" s="50"/>
      <c r="BF62" s="115" t="str">
        <f t="shared" si="15"/>
        <v>COUPLE INITIAL ARRIERE = 7</v>
      </c>
    </row>
    <row r="63" spans="13:58" ht="12.75" customHeight="1">
      <c r="M63" s="50"/>
      <c r="N63" s="50"/>
      <c r="BF63" s="115" t="str">
        <f t="shared" si="15"/>
        <v>SENSIB. ACCELERATION AR. = 15</v>
      </c>
    </row>
    <row r="64" spans="13:58" ht="12.75" customHeight="1">
      <c r="M64" s="50"/>
      <c r="N64" s="50"/>
      <c r="BF64" s="115" t="str">
        <f t="shared" si="15"/>
        <v>SENSIB. DES FREINS ARRIERE = 9</v>
      </c>
    </row>
    <row r="65" ht="12.75" customHeight="1">
      <c r="BF65" s="109"/>
    </row>
    <row r="66" ht="12.75" customHeight="1">
      <c r="BF66" s="113" t="s">
        <v>170</v>
      </c>
    </row>
    <row r="67" ht="12.75" customHeight="1">
      <c r="BF67" s="115" t="str">
        <f>F33&amp;" = "&amp;TEXT(G33,"0")</f>
        <v>AVANT = -</v>
      </c>
    </row>
    <row r="68" ht="12.75" customHeight="1">
      <c r="BF68" s="115" t="str">
        <f>F34&amp;" = "&amp;TEXT(G34,"0")</f>
        <v>ARRIERE = -</v>
      </c>
    </row>
    <row r="69" ht="12.75" customHeight="1">
      <c r="BF69" s="109"/>
    </row>
    <row r="70" ht="12.75" customHeight="1">
      <c r="BF70" s="113" t="s">
        <v>168</v>
      </c>
    </row>
    <row r="71" ht="12.75" customHeight="1">
      <c r="BF71" s="115" t="str">
        <f>F37&amp;" = "&amp;TEXT(G37,"0")</f>
        <v>AVANT = 0</v>
      </c>
    </row>
    <row r="72" ht="12.75" customHeight="1">
      <c r="BF72" s="115" t="str">
        <f>F38&amp;" = "&amp;TEXT(G38,"0")</f>
        <v>ARRIERE = 0</v>
      </c>
    </row>
  </sheetData>
  <sheetProtection sheet="1" selectLockedCells="1"/>
  <mergeCells count="276">
    <mergeCell ref="BF16:BF20"/>
    <mergeCell ref="F40:G40"/>
    <mergeCell ref="F41:G45"/>
    <mergeCell ref="B9:D9"/>
    <mergeCell ref="B10:C10"/>
    <mergeCell ref="B11:C11"/>
    <mergeCell ref="B12:C12"/>
    <mergeCell ref="B20:C20"/>
    <mergeCell ref="B21:C21"/>
    <mergeCell ref="B22:C22"/>
    <mergeCell ref="B23:C23"/>
    <mergeCell ref="B2:D3"/>
    <mergeCell ref="B4:D4"/>
    <mergeCell ref="B16:D16"/>
    <mergeCell ref="B17:C17"/>
    <mergeCell ref="B18:C18"/>
    <mergeCell ref="B19:C19"/>
    <mergeCell ref="B13:C13"/>
    <mergeCell ref="B24:C24"/>
    <mergeCell ref="B25:C25"/>
    <mergeCell ref="B26:C26"/>
    <mergeCell ref="B40:C40"/>
    <mergeCell ref="B6:D6"/>
    <mergeCell ref="B7:D7"/>
    <mergeCell ref="B35:D35"/>
    <mergeCell ref="B36:C36"/>
    <mergeCell ref="B37:C37"/>
    <mergeCell ref="B39:D39"/>
    <mergeCell ref="B28:D28"/>
    <mergeCell ref="B29:C29"/>
    <mergeCell ref="B30:C30"/>
    <mergeCell ref="B31:C31"/>
    <mergeCell ref="AX47:AZ47"/>
    <mergeCell ref="B42:C42"/>
    <mergeCell ref="AU46:AW46"/>
    <mergeCell ref="AX46:AZ46"/>
    <mergeCell ref="P47:AB47"/>
    <mergeCell ref="AC47:AE47"/>
    <mergeCell ref="AJ26:AL26"/>
    <mergeCell ref="AJ27:AL27"/>
    <mergeCell ref="B14:C14"/>
    <mergeCell ref="P14:AB14"/>
    <mergeCell ref="B41:C41"/>
    <mergeCell ref="B32:C32"/>
    <mergeCell ref="B33:C33"/>
    <mergeCell ref="P41:AB41"/>
    <mergeCell ref="AC41:AE41"/>
    <mergeCell ref="AF41:AH41"/>
    <mergeCell ref="AF47:AH47"/>
    <mergeCell ref="AI47:AK47"/>
    <mergeCell ref="AL47:AN47"/>
    <mergeCell ref="AO47:AQ47"/>
    <mergeCell ref="AR47:AT47"/>
    <mergeCell ref="AU47:AW47"/>
    <mergeCell ref="AR45:AT45"/>
    <mergeCell ref="AU45:AW45"/>
    <mergeCell ref="AX45:AZ45"/>
    <mergeCell ref="P46:AB46"/>
    <mergeCell ref="AC46:AE46"/>
    <mergeCell ref="AF46:AH46"/>
    <mergeCell ref="AI46:AK46"/>
    <mergeCell ref="AL46:AN46"/>
    <mergeCell ref="AO46:AQ46"/>
    <mergeCell ref="AR46:AT46"/>
    <mergeCell ref="P45:AB45"/>
    <mergeCell ref="AC45:AE45"/>
    <mergeCell ref="AF45:AH45"/>
    <mergeCell ref="AI45:AK45"/>
    <mergeCell ref="AL45:AN45"/>
    <mergeCell ref="AO45:AQ45"/>
    <mergeCell ref="AX43:AZ43"/>
    <mergeCell ref="P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AU42:AW42"/>
    <mergeCell ref="AX42:AZ42"/>
    <mergeCell ref="P43:AB43"/>
    <mergeCell ref="AC43:AE43"/>
    <mergeCell ref="AF43:AH43"/>
    <mergeCell ref="AI43:AK43"/>
    <mergeCell ref="AL43:AN43"/>
    <mergeCell ref="AO43:AQ43"/>
    <mergeCell ref="AR43:AT43"/>
    <mergeCell ref="AU43:AW43"/>
    <mergeCell ref="AR41:AT41"/>
    <mergeCell ref="AU41:AW41"/>
    <mergeCell ref="AX41:AZ41"/>
    <mergeCell ref="P42:AB42"/>
    <mergeCell ref="AC42:AE42"/>
    <mergeCell ref="AF42:AH42"/>
    <mergeCell ref="AI42:AK42"/>
    <mergeCell ref="AL42:AN42"/>
    <mergeCell ref="AO42:AQ42"/>
    <mergeCell ref="AR42:AT42"/>
    <mergeCell ref="AI41:AK41"/>
    <mergeCell ref="AL41:AN41"/>
    <mergeCell ref="AO41:AQ41"/>
    <mergeCell ref="AX39:AZ39"/>
    <mergeCell ref="P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AU38:AW38"/>
    <mergeCell ref="AX38:AZ38"/>
    <mergeCell ref="AR39:AT39"/>
    <mergeCell ref="AU39:AW39"/>
    <mergeCell ref="AR38:AT38"/>
    <mergeCell ref="P39:AB39"/>
    <mergeCell ref="AC39:AE39"/>
    <mergeCell ref="AF39:AH39"/>
    <mergeCell ref="AI39:AK39"/>
    <mergeCell ref="AL39:AN39"/>
    <mergeCell ref="AO39:AQ39"/>
    <mergeCell ref="AJ31:AL31"/>
    <mergeCell ref="AC35:AE35"/>
    <mergeCell ref="AZ31:BB31"/>
    <mergeCell ref="AW32:AY32"/>
    <mergeCell ref="P38:AB38"/>
    <mergeCell ref="AC38:AE38"/>
    <mergeCell ref="AF38:AH38"/>
    <mergeCell ref="AI38:AK38"/>
    <mergeCell ref="AL38:AN38"/>
    <mergeCell ref="AO38:AQ38"/>
    <mergeCell ref="AZ32:BB32"/>
    <mergeCell ref="AQ32:AS32"/>
    <mergeCell ref="Z33:AB33"/>
    <mergeCell ref="AC33:AE33"/>
    <mergeCell ref="AC34:AE34"/>
    <mergeCell ref="AJ32:AL32"/>
    <mergeCell ref="AM32:AO32"/>
    <mergeCell ref="AZ26:BB26"/>
    <mergeCell ref="AZ28:BB28"/>
    <mergeCell ref="AZ29:BB29"/>
    <mergeCell ref="AZ30:BB30"/>
    <mergeCell ref="Q32:S32"/>
    <mergeCell ref="T32:V32"/>
    <mergeCell ref="W32:Y32"/>
    <mergeCell ref="Z32:AB32"/>
    <mergeCell ref="AC32:AE32"/>
    <mergeCell ref="AQ31:AS31"/>
    <mergeCell ref="AQ28:AS28"/>
    <mergeCell ref="AQ29:AS29"/>
    <mergeCell ref="AQ30:AS30"/>
    <mergeCell ref="AW25:AY25"/>
    <mergeCell ref="Q31:S31"/>
    <mergeCell ref="T31:V31"/>
    <mergeCell ref="W31:Y31"/>
    <mergeCell ref="Z31:AB31"/>
    <mergeCell ref="AC31:AE31"/>
    <mergeCell ref="AM31:AO31"/>
    <mergeCell ref="Q30:S30"/>
    <mergeCell ref="T30:V30"/>
    <mergeCell ref="W30:Y30"/>
    <mergeCell ref="Z30:AB30"/>
    <mergeCell ref="AC30:AE30"/>
    <mergeCell ref="AJ29:AL29"/>
    <mergeCell ref="AJ30:AL30"/>
    <mergeCell ref="Q29:S29"/>
    <mergeCell ref="T29:V29"/>
    <mergeCell ref="W29:Y29"/>
    <mergeCell ref="W27:Y27"/>
    <mergeCell ref="Z27:AB27"/>
    <mergeCell ref="AC27:AE27"/>
    <mergeCell ref="Z29:AB29"/>
    <mergeCell ref="AC29:AE29"/>
    <mergeCell ref="Q28:S28"/>
    <mergeCell ref="T28:V28"/>
    <mergeCell ref="W28:Y28"/>
    <mergeCell ref="Z28:AB28"/>
    <mergeCell ref="AC28:AE28"/>
    <mergeCell ref="P37:AZ37"/>
    <mergeCell ref="AG31:AI31"/>
    <mergeCell ref="AG32:AI32"/>
    <mergeCell ref="AQ27:AS27"/>
    <mergeCell ref="AZ27:BB27"/>
    <mergeCell ref="AJ25:AL25"/>
    <mergeCell ref="AG26:AI26"/>
    <mergeCell ref="Q26:S26"/>
    <mergeCell ref="T26:V26"/>
    <mergeCell ref="W26:Y26"/>
    <mergeCell ref="P35:AB35"/>
    <mergeCell ref="AG25:AI25"/>
    <mergeCell ref="AG27:AI27"/>
    <mergeCell ref="AG28:AI28"/>
    <mergeCell ref="AG29:AI29"/>
    <mergeCell ref="AG30:AI30"/>
    <mergeCell ref="P33:Y33"/>
    <mergeCell ref="P34:AB34"/>
    <mergeCell ref="Z26:AB26"/>
    <mergeCell ref="AC26:AE26"/>
    <mergeCell ref="P19:AE19"/>
    <mergeCell ref="P20:AE20"/>
    <mergeCell ref="AC13:AE13"/>
    <mergeCell ref="AC14:AE14"/>
    <mergeCell ref="AC16:AE16"/>
    <mergeCell ref="AC17:AE17"/>
    <mergeCell ref="P13:AB13"/>
    <mergeCell ref="P16:AB16"/>
    <mergeCell ref="P17:AB17"/>
    <mergeCell ref="AC9:AE9"/>
    <mergeCell ref="AC10:AE10"/>
    <mergeCell ref="AC11:AE11"/>
    <mergeCell ref="AC12:AE12"/>
    <mergeCell ref="P8:AE8"/>
    <mergeCell ref="P9:AB9"/>
    <mergeCell ref="P10:AB10"/>
    <mergeCell ref="P11:AB11"/>
    <mergeCell ref="P12:AB12"/>
    <mergeCell ref="P2:AE2"/>
    <mergeCell ref="P3:AB3"/>
    <mergeCell ref="AC3:AE3"/>
    <mergeCell ref="P4:AB4"/>
    <mergeCell ref="AC4:AE4"/>
    <mergeCell ref="P5:AB5"/>
    <mergeCell ref="AC5:AE5"/>
    <mergeCell ref="P21:P24"/>
    <mergeCell ref="AC21:AE23"/>
    <mergeCell ref="Z24:AB24"/>
    <mergeCell ref="AC24:AE24"/>
    <mergeCell ref="Q25:S25"/>
    <mergeCell ref="P6:AB6"/>
    <mergeCell ref="AC6:AE6"/>
    <mergeCell ref="T21:V24"/>
    <mergeCell ref="W21:Y24"/>
    <mergeCell ref="Z21:AB23"/>
    <mergeCell ref="AW28:AY28"/>
    <mergeCell ref="AQ22:AS24"/>
    <mergeCell ref="AT22:AV24"/>
    <mergeCell ref="AP22:AP32"/>
    <mergeCell ref="AZ25:BB25"/>
    <mergeCell ref="Z25:AB25"/>
    <mergeCell ref="AC25:AE25"/>
    <mergeCell ref="AZ22:BB24"/>
    <mergeCell ref="AM30:AO30"/>
    <mergeCell ref="AJ28:AL28"/>
    <mergeCell ref="AT26:AV26"/>
    <mergeCell ref="AG22:AI24"/>
    <mergeCell ref="AJ22:AL24"/>
    <mergeCell ref="AM22:AO24"/>
    <mergeCell ref="Q21:S24"/>
    <mergeCell ref="AW27:AY27"/>
    <mergeCell ref="T25:V25"/>
    <mergeCell ref="W25:Y25"/>
    <mergeCell ref="Q27:S27"/>
    <mergeCell ref="T27:V27"/>
    <mergeCell ref="AT28:AV28"/>
    <mergeCell ref="AW29:AY29"/>
    <mergeCell ref="AW30:AY30"/>
    <mergeCell ref="AW31:AY31"/>
    <mergeCell ref="AM25:AO25"/>
    <mergeCell ref="AM26:AO26"/>
    <mergeCell ref="AM27:AO27"/>
    <mergeCell ref="AM28:AO28"/>
    <mergeCell ref="AM29:AO29"/>
    <mergeCell ref="AT25:AV25"/>
    <mergeCell ref="AT29:AV29"/>
    <mergeCell ref="AT30:AV30"/>
    <mergeCell ref="AT31:AV31"/>
    <mergeCell ref="AT32:AV32"/>
    <mergeCell ref="AG21:BB21"/>
    <mergeCell ref="AQ26:AS26"/>
    <mergeCell ref="AQ25:AS25"/>
    <mergeCell ref="AW22:AY24"/>
    <mergeCell ref="AW26:AY26"/>
    <mergeCell ref="AT27:AV27"/>
  </mergeCells>
  <conditionalFormatting sqref="I25:I27 J28:J29 K25:K29 G25:G27">
    <cfRule type="cellIs" priority="65" dxfId="7" operator="notBetween" stopIfTrue="1">
      <formula>5</formula>
      <formula>60</formula>
    </cfRule>
  </conditionalFormatting>
  <conditionalFormatting sqref="I7:K7 I9:K9 G9 G7">
    <cfRule type="cellIs" priority="56" dxfId="23" operator="notBetween" stopIfTrue="1">
      <formula>1</formula>
      <formula>10</formula>
    </cfRule>
  </conditionalFormatting>
  <conditionalFormatting sqref="I8:K8 I10:K10 G10 G8">
    <cfRule type="cellIs" priority="55" dxfId="24" operator="notBetween" stopIfTrue="1">
      <formula>1</formula>
      <formula>10</formula>
    </cfRule>
  </conditionalFormatting>
  <conditionalFormatting sqref="I11:K11 G11">
    <cfRule type="cellIs" priority="54" dxfId="25" operator="notBetween" stopIfTrue="1">
      <formula>1</formula>
      <formula>7</formula>
    </cfRule>
  </conditionalFormatting>
  <conditionalFormatting sqref="I12:K12 G12">
    <cfRule type="cellIs" priority="53" dxfId="24" operator="notBetween" stopIfTrue="1">
      <formula>1</formula>
      <formula>7</formula>
    </cfRule>
  </conditionalFormatting>
  <conditionalFormatting sqref="J30:K30">
    <cfRule type="cellIs" priority="52" dxfId="24" operator="notBetween" stopIfTrue="1">
      <formula>5</formula>
      <formula>60</formula>
    </cfRule>
  </conditionalFormatting>
  <conditionalFormatting sqref="AC35:AE35">
    <cfRule type="expression" priority="584" dxfId="11" stopIfTrue="1">
      <formula>($AC$35&lt;$AC$9)+($AC$35&gt;$AC$10)</formula>
    </cfRule>
  </conditionalFormatting>
  <conditionalFormatting sqref="P25:AE32 AZ25:BB32">
    <cfRule type="expression" priority="824" dxfId="26" stopIfTrue="1">
      <formula>$P25&gt;$AC$3</formula>
    </cfRule>
  </conditionalFormatting>
  <conditionalFormatting sqref="AG25:AL32">
    <cfRule type="expression" priority="34" dxfId="26" stopIfTrue="1">
      <formula>$P25&gt;$AC$3</formula>
    </cfRule>
  </conditionalFormatting>
  <conditionalFormatting sqref="AQ25:AQ32 AR26:AS32">
    <cfRule type="expression" priority="35" dxfId="26" stopIfTrue="1">
      <formula>$P25&gt;$AC$3</formula>
    </cfRule>
  </conditionalFormatting>
  <conditionalFormatting sqref="AM25:AO32">
    <cfRule type="expression" priority="33" dxfId="26" stopIfTrue="1">
      <formula>$P25&gt;$AC$3</formula>
    </cfRule>
    <cfRule type="expression" priority="36" dxfId="11" stopIfTrue="1">
      <formula>($AM25&lt;$AG25)+($AM25&gt;$AJ25)</formula>
    </cfRule>
  </conditionalFormatting>
  <conditionalFormatting sqref="I28 J25 I21:K21 K33 G28 G21">
    <cfRule type="cellIs" priority="972" dxfId="7" operator="notBetween" stopIfTrue="1">
      <formula>$D$17</formula>
      <formula>$D$18</formula>
    </cfRule>
  </conditionalFormatting>
  <conditionalFormatting sqref="I30 J27 I22:K22 I38:K38 K34 G30 G22 G38">
    <cfRule type="cellIs" priority="978" dxfId="7" operator="notBetween" stopIfTrue="1">
      <formula>$D$19</formula>
      <formula>$D$20</formula>
    </cfRule>
  </conditionalFormatting>
  <conditionalFormatting sqref="I17:K17 G17">
    <cfRule type="cellIs" priority="986" dxfId="7" operator="notBetween" stopIfTrue="1">
      <formula>$D$22</formula>
      <formula>$D$23</formula>
    </cfRule>
  </conditionalFormatting>
  <conditionalFormatting sqref="I18:K18 G18">
    <cfRule type="cellIs" priority="988" dxfId="7" operator="notBetween" stopIfTrue="1">
      <formula>$D$25</formula>
      <formula>$D$26</formula>
    </cfRule>
  </conditionalFormatting>
  <conditionalFormatting sqref="I3:K3 G3">
    <cfRule type="cellIs" priority="990" dxfId="27" operator="notBetween" stopIfTrue="1">
      <formula>$D$17</formula>
      <formula>$D$18</formula>
    </cfRule>
  </conditionalFormatting>
  <conditionalFormatting sqref="I4:K4 G4">
    <cfRule type="cellIs" priority="992" dxfId="28" operator="notBetween" stopIfTrue="1">
      <formula>$D$19</formula>
      <formula>$D$20</formula>
    </cfRule>
  </conditionalFormatting>
  <conditionalFormatting sqref="I5:K5 G5">
    <cfRule type="cellIs" priority="994" dxfId="27" operator="notBetween" stopIfTrue="1">
      <formula>$D$22</formula>
      <formula>$D$23</formula>
    </cfRule>
  </conditionalFormatting>
  <conditionalFormatting sqref="I6:K6 G6">
    <cfRule type="cellIs" priority="996" dxfId="28" operator="notBetween" stopIfTrue="1">
      <formula>$D$25</formula>
      <formula>$D$26</formula>
    </cfRule>
  </conditionalFormatting>
  <conditionalFormatting sqref="AW25:AY32">
    <cfRule type="expression" priority="1015" dxfId="26" stopIfTrue="1">
      <formula>$P25&gt;$AC$3</formula>
    </cfRule>
  </conditionalFormatting>
  <conditionalFormatting sqref="AT25:AV32">
    <cfRule type="expression" priority="1" dxfId="26" stopIfTrue="1">
      <formula>$P25&gt;$AC$3</formula>
    </cfRule>
  </conditionalFormatting>
  <dataValidations count="27">
    <dataValidation type="decimal" showErrorMessage="1" errorTitle="Invalid Entry" error="Please enter a valid horsepower rating." sqref="D10">
      <formula1>0</formula1>
      <formula2>10000</formula2>
    </dataValidation>
    <dataValidation type="list" allowBlank="1" showInputMessage="1" showErrorMessage="1" sqref="P20">
      <formula1>$P$38:$P$47</formula1>
    </dataValidation>
    <dataValidation type="list" allowBlank="1" showInputMessage="1" showErrorMessage="1" sqref="AC3">
      <formula1>"1,2,3,4,5,6,7,8"</formula1>
    </dataValidation>
    <dataValidation type="list" showErrorMessage="1" errorTitle="Invalid Entry" error="Enter HP for mechanical horsepower, KW for kilowatts, or PS for metric horsepower." sqref="D40">
      <formula1>"HP,KW,PS,"</formula1>
      <formula2>0</formula2>
    </dataValidation>
    <dataValidation type="list" operator="equal" showErrorMessage="1" errorTitle="Invalid Entry" error="Enter &quot;Y&quot; for yes or &quot;N&quot; for no." sqref="D42">
      <formula1>"N,Y"</formula1>
    </dataValidation>
    <dataValidation type="list" showErrorMessage="1" errorTitle="Invalid Entry" error="Enter KGFM for kilogram-meters, LB-FT for pound-feet, or NM for Newton-meters." sqref="D41">
      <formula1>"KGFM,LB-FT,NM"</formula1>
      <formula2>0</formula2>
    </dataValidation>
    <dataValidation type="whole" showErrorMessage="1" errorTitle="Invalid Entry" error="Please enter a valid downforce value." sqref="D36:D37">
      <formula1>0</formula1>
      <formula2>10000</formula2>
    </dataValidation>
    <dataValidation type="decimal" showErrorMessage="1" errorTitle="Invalid Entry" error="Value must be between -3 and 3." sqref="D30:D31">
      <formula1>-3</formula1>
      <formula2>3</formula2>
    </dataValidation>
    <dataValidation type="whole" showErrorMessage="1" errorTitle="Invalid Entry" error="Please enter a valid ride height." sqref="D17:D20">
      <formula1>0</formula1>
      <formula2>1000</formula2>
    </dataValidation>
    <dataValidation type="decimal" showErrorMessage="1" errorTitle="Invalid Entry" error="Please enter a valid spring rate." sqref="D21:D26">
      <formula1>0</formula1>
      <formula2>100</formula2>
    </dataValidation>
    <dataValidation type="decimal" showErrorMessage="1" errorTitle="Invalid Entry" error="Please enter a valid torque rating." sqref="D11">
      <formula1>0</formula1>
      <formula2>10000</formula2>
    </dataValidation>
    <dataValidation type="whole" showErrorMessage="1" errorTitle="Invalid Entry" error="Please enter a valid weight." sqref="D12">
      <formula1>0</formula1>
      <formula2>10000</formula2>
    </dataValidation>
    <dataValidation type="decimal" showErrorMessage="1" errorTitle="Invalid Entry" error="Please enter a valid front weight distribution." sqref="D13">
      <formula1>0</formula1>
      <formula2>1</formula2>
    </dataValidation>
    <dataValidation type="decimal" showErrorMessage="1" errorTitle="Invalid Entry" error="Value must be between 0 and 20." sqref="L4:L5 E11:E16 L13:L14 E35">
      <formula1>0</formula1>
      <formula2>20</formula2>
    </dataValidation>
    <dataValidation errorTitle="Invalid Entry" sqref="F41">
      <formula1>0</formula1>
      <formula2>5</formula2>
    </dataValidation>
    <dataValidation operator="greaterThanOrEqual" showErrorMessage="1" errorTitle="Invalid Entry" error="Value must be greater than or equal to 0." sqref="E7:E10">
      <formula1>0</formula1>
    </dataValidation>
    <dataValidation type="decimal" showErrorMessage="1" errorTitle="Invalid Entry" error="Value must be between 1 and 4." sqref="E22">
      <formula1>1</formula1>
      <formula2>4</formula2>
    </dataValidation>
    <dataValidation type="list" operator="equal" showErrorMessage="1" errorTitle="Invalid Entry" error="Enter &quot;Y&quot; for yes or &quot;N&quot; for no." sqref="E24">
      <formula1>"Y,N"</formula1>
    </dataValidation>
    <dataValidation type="decimal" allowBlank="1" showErrorMessage="1" errorTitle="Invalid Entry" error="Value must be between 40% and 65%." sqref="E4">
      <formula1>0.4</formula1>
      <formula2>0.65</formula2>
    </dataValidation>
    <dataValidation type="whole" showErrorMessage="1" errorTitle="Invalid Entry" error="Value must be an integer between -3  and 3." sqref="E23">
      <formula1>-3</formula1>
      <formula2>3</formula2>
    </dataValidation>
    <dataValidation type="decimal" operator="lessThan" allowBlank="1" showErrorMessage="1" errorTitle="Invalid Entry" error="Value must be less than 6.0." sqref="E21">
      <formula1>6</formula1>
    </dataValidation>
    <dataValidation type="whole" showErrorMessage="1" errorTitle="Invalid Entry" error="Value must be an integer between 1 and 4." sqref="E19">
      <formula1>1</formula1>
      <formula2>4</formula2>
    </dataValidation>
    <dataValidation type="decimal" showErrorMessage="1" errorTitle="Invalid Entry" error="Value must be between 0.0 and 5.0." sqref="D32">
      <formula1>0</formula1>
      <formula2>5</formula2>
    </dataValidation>
    <dataValidation type="decimal" showErrorMessage="1" errorTitle="Invalid Entry" error="Value must be between 0 and 5.  Settings between 1 and 4 are recommended for maximum compatibility." sqref="D29">
      <formula1>0</formula1>
      <formula2>5</formula2>
    </dataValidation>
    <dataValidation type="decimal" showErrorMessage="1" errorTitle="Invalid Entry" error="Value must be between 1 and 6.  Settings between 1 and 4 are recommended for maximum compatibility." sqref="D33">
      <formula1>1</formula1>
      <formula2>6</formula2>
    </dataValidation>
    <dataValidation type="list" showErrorMessage="1" errorTitle="Invalid Entry" error="Please enter a valid front weight distribution." sqref="D14">
      <formula1>"FF,4WD,FR,MR,RR"</formula1>
    </dataValidation>
    <dataValidation type="whole" allowBlank="1" showErrorMessage="1" errorTitle="Invalid Entry" error="Value must be an integer between -3 and 3." sqref="E20">
      <formula1>-3</formula1>
      <formula2>3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52" r:id="rId4"/>
  <ignoredErrors>
    <ignoredError sqref="BF6:BF7 BF39 BF43 BF33 BF9:BF32 BF34:BF38 BF44:BF65 BF40:BF42 BF67:BF72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0"/>
  <sheetViews>
    <sheetView zoomScalePageLayoutView="0" workbookViewId="0" topLeftCell="A30">
      <selection activeCell="C30" sqref="C30"/>
    </sheetView>
  </sheetViews>
  <sheetFormatPr defaultColWidth="11.421875" defaultRowHeight="12.75" customHeight="1"/>
  <cols>
    <col min="1" max="1" width="3.7109375" style="29" customWidth="1"/>
    <col min="2" max="2" width="32.28125" style="29" customWidth="1"/>
    <col min="3" max="3" width="7.8515625" style="29" customWidth="1"/>
    <col min="4" max="4" width="3.7109375" style="58" customWidth="1"/>
    <col min="5" max="43" width="3.7109375" style="6" customWidth="1"/>
    <col min="44" max="16384" width="11.421875" style="6" customWidth="1"/>
  </cols>
  <sheetData>
    <row r="1" spans="1:4" ht="12.75" customHeight="1">
      <c r="A1" s="1"/>
      <c r="D1" s="4"/>
    </row>
    <row r="2" spans="1:26" ht="12.75" customHeight="1">
      <c r="A2" s="1"/>
      <c r="B2" s="272" t="s">
        <v>144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spans="1:26" ht="12.75" customHeight="1">
      <c r="A3" s="1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</row>
    <row r="4" spans="1:41" ht="12.75" customHeight="1">
      <c r="A4" s="1"/>
      <c r="B4" s="2"/>
      <c r="C4" s="2"/>
      <c r="D4" s="20"/>
      <c r="AO4" s="25"/>
    </row>
    <row r="5" spans="1:26" ht="12.75" customHeight="1">
      <c r="A5" s="1"/>
      <c r="B5" s="252" t="s">
        <v>143</v>
      </c>
      <c r="C5" s="253"/>
      <c r="D5" s="20"/>
      <c r="K5" s="171" t="s">
        <v>148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12.75" customHeight="1">
      <c r="A6" s="1"/>
      <c r="B6" s="273" t="s">
        <v>140</v>
      </c>
      <c r="C6" s="274"/>
      <c r="D6" s="9"/>
      <c r="K6" s="169" t="s">
        <v>76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72">
        <v>5</v>
      </c>
      <c r="Y6" s="173"/>
      <c r="Z6" s="174"/>
    </row>
    <row r="7" spans="1:26" ht="12.75" customHeight="1">
      <c r="A7" s="1"/>
      <c r="B7" s="2"/>
      <c r="C7" s="2"/>
      <c r="D7" s="9"/>
      <c r="K7" s="169" t="s">
        <v>64</v>
      </c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75">
        <v>8200</v>
      </c>
      <c r="Y7" s="176"/>
      <c r="Z7" s="177"/>
    </row>
    <row r="8" spans="1:26" ht="12.75" customHeight="1">
      <c r="A8" s="1"/>
      <c r="B8" s="252" t="s">
        <v>145</v>
      </c>
      <c r="C8" s="253"/>
      <c r="D8" s="9"/>
      <c r="K8" s="169" t="s">
        <v>65</v>
      </c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75">
        <v>5800</v>
      </c>
      <c r="Y8" s="176"/>
      <c r="Z8" s="177"/>
    </row>
    <row r="9" spans="1:26" ht="12.75" customHeight="1">
      <c r="A9" s="1"/>
      <c r="B9" s="75" t="str">
        <f>IF($C$61="HP","PUISSANCE MAX. (HP)",IF($C$61="KW","PUISSANCE MAX. (KW)","PUISSANCE MAX. (PS)"))</f>
        <v>PUISSANCE MAX. (PS)</v>
      </c>
      <c r="C9" s="32">
        <v>243</v>
      </c>
      <c r="D9" s="9"/>
      <c r="K9" s="169" t="s">
        <v>73</v>
      </c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70">
        <v>8300</v>
      </c>
      <c r="Y9" s="170"/>
      <c r="Z9" s="170"/>
    </row>
    <row r="10" spans="1:4" ht="12.75" customHeight="1">
      <c r="A10" s="1"/>
      <c r="B10" s="75" t="str">
        <f>IF($C$62="LB-FT","COUPLE MAX. (LB-FT)",IF($C$62="KGFM","COUPLE MAX. (KGFM)","COUPLE MAX. (NM)"))</f>
        <v>COUPLE MAX. (NM)</v>
      </c>
      <c r="C10" s="32">
        <v>269.8</v>
      </c>
      <c r="D10" s="9"/>
    </row>
    <row r="11" spans="1:26" ht="12.75" customHeight="1">
      <c r="A11" s="1"/>
      <c r="B11" s="75" t="s">
        <v>9</v>
      </c>
      <c r="C11" s="32">
        <v>988</v>
      </c>
      <c r="D11" s="9"/>
      <c r="K11" s="171" t="s">
        <v>149</v>
      </c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ht="12.75" customHeight="1">
      <c r="A12" s="1"/>
      <c r="B12" s="76" t="s">
        <v>11</v>
      </c>
      <c r="C12" s="34">
        <v>0.5</v>
      </c>
      <c r="D12" s="33"/>
      <c r="K12" s="169" t="s">
        <v>69</v>
      </c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78">
        <v>2.5</v>
      </c>
      <c r="Y12" s="179"/>
      <c r="Z12" s="180"/>
    </row>
    <row r="13" spans="1:26" ht="12.75" customHeight="1">
      <c r="A13" s="1"/>
      <c r="B13" s="76" t="s">
        <v>66</v>
      </c>
      <c r="C13" s="35" t="s">
        <v>141</v>
      </c>
      <c r="D13" s="20"/>
      <c r="K13" s="169" t="s">
        <v>68</v>
      </c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78">
        <v>5.5</v>
      </c>
      <c r="Y13" s="179"/>
      <c r="Z13" s="180"/>
    </row>
    <row r="14" spans="1:26" ht="12.75" customHeight="1">
      <c r="A14" s="1"/>
      <c r="B14" s="2"/>
      <c r="C14" s="2"/>
      <c r="D14" s="20"/>
      <c r="K14" s="169" t="s">
        <v>70</v>
      </c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78">
        <v>3.625</v>
      </c>
      <c r="Y14" s="179"/>
      <c r="Z14" s="180"/>
    </row>
    <row r="15" spans="1:26" ht="12.75" customHeight="1">
      <c r="A15" s="1"/>
      <c r="B15" s="235" t="s">
        <v>146</v>
      </c>
      <c r="C15" s="235"/>
      <c r="D15" s="37"/>
      <c r="K15" s="169" t="s">
        <v>67</v>
      </c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271">
        <f>($X$14-$X$12)/($X$13-$X$12)</f>
        <v>0.375</v>
      </c>
      <c r="Y15" s="271"/>
      <c r="Z15" s="271"/>
    </row>
    <row r="16" spans="1:26" ht="12.75" customHeight="1">
      <c r="A16" s="1"/>
      <c r="B16" s="254" t="s">
        <v>154</v>
      </c>
      <c r="C16" s="255"/>
      <c r="D16" s="37"/>
      <c r="K16" s="169" t="s">
        <v>150</v>
      </c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88">
        <v>270</v>
      </c>
      <c r="Y16" s="188"/>
      <c r="Z16" s="188"/>
    </row>
    <row r="17" spans="1:26" ht="12.75" customHeight="1">
      <c r="A17" s="1"/>
      <c r="B17" s="256"/>
      <c r="C17" s="257"/>
      <c r="D17" s="33"/>
      <c r="K17" s="169" t="s">
        <v>72</v>
      </c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89">
        <v>1.007</v>
      </c>
      <c r="Y17" s="190"/>
      <c r="Z17" s="191"/>
    </row>
    <row r="18" spans="1:4" ht="12.75" customHeight="1">
      <c r="A18" s="1"/>
      <c r="B18" s="256"/>
      <c r="C18" s="257"/>
      <c r="D18" s="9"/>
    </row>
    <row r="19" spans="1:26" ht="12.75" customHeight="1">
      <c r="A19" s="1"/>
      <c r="B19" s="256"/>
      <c r="C19" s="257"/>
      <c r="D19" s="9"/>
      <c r="K19" s="169" t="s">
        <v>75</v>
      </c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92">
        <f>(($X$17*$X$14*$X$16/$X$9*1000/60))</f>
        <v>1.979118975903614</v>
      </c>
      <c r="Y19" s="192"/>
      <c r="Z19" s="192"/>
    </row>
    <row r="20" spans="1:26" ht="12.75" customHeight="1">
      <c r="A20" s="1"/>
      <c r="B20" s="258"/>
      <c r="C20" s="259"/>
      <c r="D20" s="9"/>
      <c r="K20" s="169" t="s">
        <v>74</v>
      </c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93">
        <f>$X$19*1000/PI()/25.4</f>
        <v>24.80209196708897</v>
      </c>
      <c r="Y20" s="193"/>
      <c r="Z20" s="193"/>
    </row>
    <row r="21" spans="1:4" ht="12.75" customHeight="1">
      <c r="A21" s="1"/>
      <c r="B21" s="2"/>
      <c r="C21" s="2"/>
      <c r="D21" s="9"/>
    </row>
    <row r="22" spans="1:26" ht="12.75" customHeight="1">
      <c r="A22" s="1"/>
      <c r="B22" s="7" t="s">
        <v>1</v>
      </c>
      <c r="C22" s="8"/>
      <c r="D22" s="9"/>
      <c r="E22" s="265" t="s">
        <v>151</v>
      </c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7"/>
    </row>
    <row r="23" spans="1:26" ht="12.75" customHeight="1">
      <c r="A23" s="1"/>
      <c r="B23" s="67" t="s">
        <v>97</v>
      </c>
      <c r="C23" s="69">
        <v>105</v>
      </c>
      <c r="D23" s="9"/>
      <c r="E23" s="268" t="str">
        <f>"Modele Boite : "&amp;ROUND(($L$28-$F$28)/($I$28-$F$28)*100,0)&amp;"-"&amp;ROUND(($L$29-$F$29)/($I$29-$F$29)*100,0)&amp;"-"&amp;ROUND(($L$30-$F$30)/($I$30-$F$30)*100,0)&amp;"-"&amp;ROUND(($L$31-$F$31)/($I$31-$F$31)*100,0)&amp;"-"&amp;ROUND(($L$32-$F$32)/($I$32-$F$32)*100,0)&amp;"-"&amp;ROUND(($L$33-$F$33)/($I$33-$F$33)*100,0)&amp;"-"&amp;ROUND(($L$34-$F$34)/($I$34-$F$34)*100,0)&amp;"-"&amp;ROUND(($L$35-$F$35)/($I$35-$F$35)*100,0)</f>
        <v>Modele Boite : 42-36-38-38-65-50-50-50</v>
      </c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70"/>
    </row>
    <row r="24" spans="1:26" ht="12.75" customHeight="1">
      <c r="A24" s="1"/>
      <c r="B24" s="68" t="s">
        <v>98</v>
      </c>
      <c r="C24" s="70">
        <v>105</v>
      </c>
      <c r="D24" s="33"/>
      <c r="E24" s="165" t="s">
        <v>77</v>
      </c>
      <c r="F24" s="130" t="s">
        <v>78</v>
      </c>
      <c r="G24" s="130"/>
      <c r="H24" s="130"/>
      <c r="I24" s="130" t="s">
        <v>79</v>
      </c>
      <c r="J24" s="130"/>
      <c r="K24" s="130"/>
      <c r="L24" s="130" t="s">
        <v>80</v>
      </c>
      <c r="M24" s="130"/>
      <c r="N24" s="130"/>
      <c r="O24" s="130" t="s">
        <v>81</v>
      </c>
      <c r="P24" s="130"/>
      <c r="Q24" s="130"/>
      <c r="R24" s="130" t="s">
        <v>82</v>
      </c>
      <c r="S24" s="130"/>
      <c r="T24" s="130"/>
      <c r="U24" s="150" t="s">
        <v>87</v>
      </c>
      <c r="V24" s="151"/>
      <c r="W24" s="152"/>
      <c r="X24" s="150" t="s">
        <v>88</v>
      </c>
      <c r="Y24" s="151"/>
      <c r="Z24" s="152"/>
    </row>
    <row r="25" spans="1:26" ht="12.75" customHeight="1">
      <c r="A25" s="1"/>
      <c r="B25" s="67" t="s">
        <v>99</v>
      </c>
      <c r="C25" s="71">
        <v>3.05</v>
      </c>
      <c r="D25" s="33"/>
      <c r="E25" s="165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53"/>
      <c r="V25" s="154"/>
      <c r="W25" s="155"/>
      <c r="X25" s="153"/>
      <c r="Y25" s="154"/>
      <c r="Z25" s="155"/>
    </row>
    <row r="26" spans="1:26" ht="12.75" customHeight="1">
      <c r="A26" s="1"/>
      <c r="B26" s="68" t="s">
        <v>100</v>
      </c>
      <c r="C26" s="72">
        <v>4.43</v>
      </c>
      <c r="D26" s="33"/>
      <c r="E26" s="165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53"/>
      <c r="V26" s="154"/>
      <c r="W26" s="155"/>
      <c r="X26" s="153"/>
      <c r="Y26" s="154"/>
      <c r="Z26" s="155"/>
    </row>
    <row r="27" spans="1:26" ht="12.75" customHeight="1">
      <c r="A27" s="1"/>
      <c r="B27" s="67" t="s">
        <v>101</v>
      </c>
      <c r="C27" s="69">
        <v>3</v>
      </c>
      <c r="D27" s="33"/>
      <c r="E27" s="165"/>
      <c r="F27" s="130"/>
      <c r="G27" s="130"/>
      <c r="H27" s="130"/>
      <c r="I27" s="130"/>
      <c r="J27" s="130"/>
      <c r="K27" s="130"/>
      <c r="L27" s="130"/>
      <c r="M27" s="130"/>
      <c r="N27" s="130"/>
      <c r="O27" s="130" t="s">
        <v>83</v>
      </c>
      <c r="P27" s="130"/>
      <c r="Q27" s="130"/>
      <c r="R27" s="130" t="s">
        <v>84</v>
      </c>
      <c r="S27" s="130"/>
      <c r="T27" s="130"/>
      <c r="U27" s="156"/>
      <c r="V27" s="157"/>
      <c r="W27" s="158"/>
      <c r="X27" s="156"/>
      <c r="Y27" s="157"/>
      <c r="Z27" s="158"/>
    </row>
    <row r="28" spans="1:26" ht="12.75" customHeight="1">
      <c r="A28" s="1"/>
      <c r="B28" s="68" t="s">
        <v>102</v>
      </c>
      <c r="C28" s="70">
        <v>3</v>
      </c>
      <c r="D28" s="9"/>
      <c r="E28" s="46">
        <v>1</v>
      </c>
      <c r="F28" s="166">
        <v>3.051</v>
      </c>
      <c r="G28" s="167"/>
      <c r="H28" s="168"/>
      <c r="I28" s="144">
        <v>4.195</v>
      </c>
      <c r="J28" s="144"/>
      <c r="K28" s="144"/>
      <c r="L28" s="166">
        <v>3.533</v>
      </c>
      <c r="M28" s="167"/>
      <c r="N28" s="168"/>
      <c r="O28" s="162">
        <f aca="true" t="shared" si="0" ref="O28:O35">IF(E28=$X$6,($X$9/(L28*J$36))*$X$19*60/1000,($X$7/(L28*J$36))*$X$19*60/1000)</f>
        <v>76.0300642138324</v>
      </c>
      <c r="P28" s="162"/>
      <c r="Q28" s="162"/>
      <c r="R28" s="163">
        <v>0</v>
      </c>
      <c r="S28" s="163"/>
      <c r="T28" s="163"/>
      <c r="U28" s="195">
        <f aca="true" t="shared" si="1" ref="U28:U35">IF(E28=$X$6,ROUND($X$9/($J$36*$I28)*$X$19*60/1000+0.5,0),ROUND($X$7/($J$36*$I28)*$X$19*60/1000+0.5,0))</f>
        <v>65</v>
      </c>
      <c r="V28" s="195"/>
      <c r="W28" s="195"/>
      <c r="X28" s="195">
        <f aca="true" t="shared" si="2" ref="X28:X35">IF(E28=$X$6,ROUND($X$9/($J$36*$F28)*$X$19*60/1000-0.5,0),ROUND($X$7/($J$36*$F28)*$X$19*60/1000-0.5,0))</f>
        <v>88</v>
      </c>
      <c r="Y28" s="195"/>
      <c r="Z28" s="195"/>
    </row>
    <row r="29" spans="1:26" ht="12.75" customHeight="1">
      <c r="A29" s="1"/>
      <c r="B29" s="67" t="s">
        <v>103</v>
      </c>
      <c r="C29" s="69">
        <v>3</v>
      </c>
      <c r="D29" s="9"/>
      <c r="E29" s="48">
        <v>2</v>
      </c>
      <c r="F29" s="146">
        <v>2.062</v>
      </c>
      <c r="G29" s="147"/>
      <c r="H29" s="148"/>
      <c r="I29" s="149">
        <v>2.81</v>
      </c>
      <c r="J29" s="149"/>
      <c r="K29" s="149"/>
      <c r="L29" s="146">
        <v>2.328</v>
      </c>
      <c r="M29" s="147"/>
      <c r="N29" s="148"/>
      <c r="O29" s="197">
        <f t="shared" si="0"/>
        <v>115.38411377468636</v>
      </c>
      <c r="P29" s="197"/>
      <c r="Q29" s="197"/>
      <c r="R29" s="197">
        <f aca="true" t="shared" si="3" ref="R29:R35">$X$7*L29/L28</f>
        <v>5403.226719501839</v>
      </c>
      <c r="S29" s="197"/>
      <c r="T29" s="197"/>
      <c r="U29" s="164">
        <f t="shared" si="1"/>
        <v>96</v>
      </c>
      <c r="V29" s="164"/>
      <c r="W29" s="164"/>
      <c r="X29" s="164">
        <f t="shared" si="2"/>
        <v>130</v>
      </c>
      <c r="Y29" s="164"/>
      <c r="Z29" s="164"/>
    </row>
    <row r="30" spans="1:26" ht="12.75" customHeight="1">
      <c r="A30" s="1"/>
      <c r="B30" s="68" t="s">
        <v>104</v>
      </c>
      <c r="C30" s="70">
        <v>3</v>
      </c>
      <c r="D30" s="33"/>
      <c r="E30" s="48">
        <v>3</v>
      </c>
      <c r="F30" s="146">
        <v>1.502</v>
      </c>
      <c r="G30" s="147"/>
      <c r="H30" s="148"/>
      <c r="I30" s="149">
        <v>1.929</v>
      </c>
      <c r="J30" s="149"/>
      <c r="K30" s="149"/>
      <c r="L30" s="146">
        <v>1.664</v>
      </c>
      <c r="M30" s="147"/>
      <c r="N30" s="148"/>
      <c r="O30" s="197">
        <f t="shared" si="0"/>
        <v>161.426813021316</v>
      </c>
      <c r="P30" s="197"/>
      <c r="Q30" s="197"/>
      <c r="R30" s="197">
        <f t="shared" si="3"/>
        <v>5861.168384879725</v>
      </c>
      <c r="S30" s="197"/>
      <c r="T30" s="197"/>
      <c r="U30" s="164">
        <f t="shared" si="1"/>
        <v>140</v>
      </c>
      <c r="V30" s="164"/>
      <c r="W30" s="164"/>
      <c r="X30" s="164">
        <f t="shared" si="2"/>
        <v>178</v>
      </c>
      <c r="Y30" s="164"/>
      <c r="Z30" s="164"/>
    </row>
    <row r="31" spans="1:26" ht="12.75" customHeight="1">
      <c r="A31" s="1"/>
      <c r="B31" s="67" t="s">
        <v>105</v>
      </c>
      <c r="C31" s="69">
        <v>3</v>
      </c>
      <c r="D31" s="33"/>
      <c r="E31" s="48">
        <v>4</v>
      </c>
      <c r="F31" s="146">
        <v>1.158</v>
      </c>
      <c r="G31" s="147"/>
      <c r="H31" s="148"/>
      <c r="I31" s="149">
        <v>1.421</v>
      </c>
      <c r="J31" s="149"/>
      <c r="K31" s="149"/>
      <c r="L31" s="146">
        <v>1.259</v>
      </c>
      <c r="M31" s="147"/>
      <c r="N31" s="148"/>
      <c r="O31" s="197">
        <f t="shared" si="0"/>
        <v>213.35521593921356</v>
      </c>
      <c r="P31" s="197"/>
      <c r="Q31" s="197"/>
      <c r="R31" s="197">
        <f t="shared" si="3"/>
        <v>6204.2067307692305</v>
      </c>
      <c r="S31" s="197"/>
      <c r="T31" s="197"/>
      <c r="U31" s="164">
        <f t="shared" si="1"/>
        <v>190</v>
      </c>
      <c r="V31" s="164"/>
      <c r="W31" s="164"/>
      <c r="X31" s="164">
        <f t="shared" si="2"/>
        <v>231</v>
      </c>
      <c r="Y31" s="164"/>
      <c r="Z31" s="164"/>
    </row>
    <row r="32" spans="1:26" ht="12.75" customHeight="1">
      <c r="A32" s="1"/>
      <c r="B32" s="68" t="s">
        <v>106</v>
      </c>
      <c r="C32" s="70">
        <v>3</v>
      </c>
      <c r="D32" s="33"/>
      <c r="E32" s="48">
        <v>5</v>
      </c>
      <c r="F32" s="146">
        <v>0.818</v>
      </c>
      <c r="G32" s="147"/>
      <c r="H32" s="148"/>
      <c r="I32" s="149">
        <v>1.107</v>
      </c>
      <c r="J32" s="149"/>
      <c r="K32" s="149"/>
      <c r="L32" s="146">
        <v>1.007</v>
      </c>
      <c r="M32" s="147"/>
      <c r="N32" s="148"/>
      <c r="O32" s="197">
        <f t="shared" si="0"/>
        <v>270</v>
      </c>
      <c r="P32" s="197"/>
      <c r="Q32" s="197"/>
      <c r="R32" s="197">
        <f t="shared" si="3"/>
        <v>6558.697378872121</v>
      </c>
      <c r="S32" s="197"/>
      <c r="T32" s="197"/>
      <c r="U32" s="164">
        <f t="shared" si="1"/>
        <v>246</v>
      </c>
      <c r="V32" s="164"/>
      <c r="W32" s="164"/>
      <c r="X32" s="164">
        <f t="shared" si="2"/>
        <v>332</v>
      </c>
      <c r="Y32" s="164"/>
      <c r="Z32" s="164"/>
    </row>
    <row r="33" spans="1:26" ht="12.75" customHeight="1">
      <c r="A33" s="1"/>
      <c r="B33" s="2"/>
      <c r="C33" s="2"/>
      <c r="D33" s="33"/>
      <c r="E33" s="48">
        <v>6</v>
      </c>
      <c r="F33" s="146">
        <v>1</v>
      </c>
      <c r="G33" s="147"/>
      <c r="H33" s="148"/>
      <c r="I33" s="149">
        <v>2</v>
      </c>
      <c r="J33" s="149"/>
      <c r="K33" s="149"/>
      <c r="L33" s="146">
        <v>1.5</v>
      </c>
      <c r="M33" s="147"/>
      <c r="N33" s="148"/>
      <c r="O33" s="197">
        <f t="shared" si="0"/>
        <v>179.07614457831323</v>
      </c>
      <c r="P33" s="197"/>
      <c r="Q33" s="197"/>
      <c r="R33" s="197">
        <f t="shared" si="3"/>
        <v>12214.498510427013</v>
      </c>
      <c r="S33" s="197"/>
      <c r="T33" s="197"/>
      <c r="U33" s="164">
        <f t="shared" si="1"/>
        <v>135</v>
      </c>
      <c r="V33" s="164"/>
      <c r="W33" s="164"/>
      <c r="X33" s="164">
        <f t="shared" si="2"/>
        <v>268</v>
      </c>
      <c r="Y33" s="164"/>
      <c r="Z33" s="164"/>
    </row>
    <row r="34" spans="1:26" ht="12.75" customHeight="1">
      <c r="A34" s="1"/>
      <c r="B34" s="7" t="s">
        <v>119</v>
      </c>
      <c r="C34" s="8"/>
      <c r="D34" s="33"/>
      <c r="E34" s="48">
        <v>7</v>
      </c>
      <c r="F34" s="207">
        <v>1</v>
      </c>
      <c r="G34" s="208"/>
      <c r="H34" s="209"/>
      <c r="I34" s="210">
        <v>2</v>
      </c>
      <c r="J34" s="210"/>
      <c r="K34" s="210"/>
      <c r="L34" s="207">
        <v>1.5</v>
      </c>
      <c r="M34" s="208"/>
      <c r="N34" s="209"/>
      <c r="O34" s="197">
        <f t="shared" si="0"/>
        <v>179.07614457831323</v>
      </c>
      <c r="P34" s="197"/>
      <c r="Q34" s="197"/>
      <c r="R34" s="197">
        <f t="shared" si="3"/>
        <v>8200</v>
      </c>
      <c r="S34" s="197"/>
      <c r="T34" s="197"/>
      <c r="U34" s="164">
        <f t="shared" si="1"/>
        <v>135</v>
      </c>
      <c r="V34" s="164"/>
      <c r="W34" s="164"/>
      <c r="X34" s="164">
        <f t="shared" si="2"/>
        <v>268</v>
      </c>
      <c r="Y34" s="164"/>
      <c r="Z34" s="164"/>
    </row>
    <row r="35" spans="1:26" ht="12.75" customHeight="1">
      <c r="A35" s="1"/>
      <c r="B35" s="67" t="s">
        <v>107</v>
      </c>
      <c r="C35" s="79">
        <v>0.5</v>
      </c>
      <c r="D35" s="33"/>
      <c r="E35" s="53">
        <v>8</v>
      </c>
      <c r="F35" s="211">
        <v>1</v>
      </c>
      <c r="G35" s="212"/>
      <c r="H35" s="213"/>
      <c r="I35" s="214">
        <v>2</v>
      </c>
      <c r="J35" s="214"/>
      <c r="K35" s="214"/>
      <c r="L35" s="211">
        <v>1.5</v>
      </c>
      <c r="M35" s="212"/>
      <c r="N35" s="213"/>
      <c r="O35" s="216">
        <f t="shared" si="0"/>
        <v>179.07614457831323</v>
      </c>
      <c r="P35" s="216"/>
      <c r="Q35" s="216"/>
      <c r="R35" s="216">
        <f t="shared" si="3"/>
        <v>8200</v>
      </c>
      <c r="S35" s="216"/>
      <c r="T35" s="216"/>
      <c r="U35" s="200">
        <f t="shared" si="1"/>
        <v>135</v>
      </c>
      <c r="V35" s="200"/>
      <c r="W35" s="200"/>
      <c r="X35" s="200">
        <f t="shared" si="2"/>
        <v>268</v>
      </c>
      <c r="Y35" s="200"/>
      <c r="Z35" s="200"/>
    </row>
    <row r="36" spans="1:26" ht="12.75" customHeight="1">
      <c r="A36" s="1"/>
      <c r="B36" s="68" t="s">
        <v>108</v>
      </c>
      <c r="C36" s="80">
        <v>1.5</v>
      </c>
      <c r="D36" s="33"/>
      <c r="E36" s="260" t="s">
        <v>152</v>
      </c>
      <c r="F36" s="261"/>
      <c r="G36" s="261"/>
      <c r="H36" s="261"/>
      <c r="I36" s="262"/>
      <c r="J36" s="178">
        <v>3.625</v>
      </c>
      <c r="K36" s="179"/>
      <c r="L36" s="180"/>
      <c r="N36" s="77"/>
      <c r="O36" s="263" t="s">
        <v>153</v>
      </c>
      <c r="P36" s="264"/>
      <c r="Q36" s="264"/>
      <c r="R36" s="264"/>
      <c r="S36" s="264"/>
      <c r="T36" s="264"/>
      <c r="U36" s="196">
        <f ca="1">ROUND((X9/(X13*OFFSET(L28,X6-1,0))*X19*60/1000)+0.5,0)</f>
        <v>178</v>
      </c>
      <c r="V36" s="196"/>
      <c r="W36" s="196"/>
      <c r="X36" s="196">
        <f ca="1">ROUND((X9/(X12*OFFSET(L28,X6-1,0))*X19*60/1000)-0.5,0)</f>
        <v>391</v>
      </c>
      <c r="Y36" s="196"/>
      <c r="Z36" s="196"/>
    </row>
    <row r="37" spans="1:4" ht="12.75" customHeight="1">
      <c r="A37" s="1"/>
      <c r="B37" s="67" t="s">
        <v>109</v>
      </c>
      <c r="C37" s="71">
        <v>0</v>
      </c>
      <c r="D37" s="33"/>
    </row>
    <row r="38" spans="1:22" ht="12.75" customHeight="1">
      <c r="A38" s="1"/>
      <c r="B38" s="68" t="s">
        <v>110</v>
      </c>
      <c r="C38" s="72">
        <v>0.6</v>
      </c>
      <c r="D38" s="33"/>
      <c r="M38" s="78"/>
      <c r="N38" s="78"/>
      <c r="O38" s="23"/>
      <c r="P38" s="23"/>
      <c r="Q38" s="23"/>
      <c r="R38" s="23"/>
      <c r="S38" s="23"/>
      <c r="T38" s="23"/>
      <c r="U38" s="78"/>
      <c r="V38" s="78"/>
    </row>
    <row r="39" spans="1:4" ht="12.75" customHeight="1">
      <c r="A39" s="1"/>
      <c r="B39" s="2"/>
      <c r="C39" s="2"/>
      <c r="D39" s="33"/>
    </row>
    <row r="40" spans="1:4" ht="12.75" customHeight="1">
      <c r="A40" s="1"/>
      <c r="B40" s="7" t="s">
        <v>120</v>
      </c>
      <c r="C40" s="8"/>
      <c r="D40" s="33"/>
    </row>
    <row r="41" spans="1:22" ht="12.75" customHeight="1">
      <c r="A41" s="1"/>
      <c r="B41" s="67" t="s">
        <v>111</v>
      </c>
      <c r="C41" s="69">
        <v>5</v>
      </c>
      <c r="D41" s="33"/>
      <c r="F41" s="16" t="s">
        <v>52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2.75" customHeight="1">
      <c r="A42" s="1"/>
      <c r="B42" s="68" t="s">
        <v>112</v>
      </c>
      <c r="C42" s="70">
        <v>5</v>
      </c>
      <c r="D42" s="33"/>
      <c r="F42" s="16"/>
      <c r="G42" s="24">
        <v>1</v>
      </c>
      <c r="H42" s="24">
        <v>1</v>
      </c>
      <c r="I42" s="24">
        <v>2</v>
      </c>
      <c r="J42" s="24">
        <v>2</v>
      </c>
      <c r="K42" s="24">
        <v>3</v>
      </c>
      <c r="L42" s="24">
        <v>3</v>
      </c>
      <c r="M42" s="24">
        <v>4</v>
      </c>
      <c r="N42" s="24">
        <v>4</v>
      </c>
      <c r="O42" s="24">
        <v>5</v>
      </c>
      <c r="P42" s="24">
        <v>5</v>
      </c>
      <c r="Q42" s="24">
        <v>6</v>
      </c>
      <c r="R42" s="24">
        <v>6</v>
      </c>
      <c r="S42" s="24">
        <v>7</v>
      </c>
      <c r="T42" s="24">
        <v>7</v>
      </c>
      <c r="U42" s="24">
        <v>8</v>
      </c>
      <c r="V42" s="24">
        <v>8</v>
      </c>
    </row>
    <row r="43" spans="1:22" ht="12.75" customHeight="1">
      <c r="A43" s="60"/>
      <c r="D43" s="61"/>
      <c r="F43" s="16" t="s">
        <v>53</v>
      </c>
      <c r="G43" s="27">
        <v>0</v>
      </c>
      <c r="H43" s="27">
        <f ca="1">IF($X$6&lt;H42,G43,OFFSET($O$28,H42-1,0))</f>
        <v>76.0300642138324</v>
      </c>
      <c r="I43" s="27">
        <f>H43</f>
        <v>76.0300642138324</v>
      </c>
      <c r="J43" s="27">
        <f ca="1">IF($X$6&lt;J42,I43,OFFSET($O$28,J42-1,0))</f>
        <v>115.38411377468636</v>
      </c>
      <c r="K43" s="27">
        <f>J43</f>
        <v>115.38411377468636</v>
      </c>
      <c r="L43" s="27">
        <f ca="1">IF($X$6&lt;L42,K43,OFFSET($O$28,L42-1,0))</f>
        <v>161.426813021316</v>
      </c>
      <c r="M43" s="27">
        <f>L43</f>
        <v>161.426813021316</v>
      </c>
      <c r="N43" s="27">
        <f ca="1">IF($X$6&lt;N42,M43,OFFSET($O$28,N42-1,0))</f>
        <v>213.35521593921356</v>
      </c>
      <c r="O43" s="27">
        <f>N43</f>
        <v>213.35521593921356</v>
      </c>
      <c r="P43" s="27">
        <f ca="1">IF($X$6&lt;P42,O43,OFFSET($O$28,P42-1,0))</f>
        <v>270</v>
      </c>
      <c r="Q43" s="27">
        <f>P43</f>
        <v>270</v>
      </c>
      <c r="R43" s="27">
        <f ca="1">IF($X$6&lt;R42,Q43,OFFSET($O$28,R42-1,0))</f>
        <v>270</v>
      </c>
      <c r="S43" s="27">
        <f>R43</f>
        <v>270</v>
      </c>
      <c r="T43" s="27">
        <f ca="1">IF($X$6&lt;T42,S43,OFFSET($O$28,T42-1,0))</f>
        <v>270</v>
      </c>
      <c r="U43" s="27">
        <f>T43</f>
        <v>270</v>
      </c>
      <c r="V43" s="27">
        <f ca="1">IF($X$6&lt;V42,U43,OFFSET($O$28,V42-1,0))</f>
        <v>270</v>
      </c>
    </row>
    <row r="44" spans="1:22" ht="12.75" customHeight="1">
      <c r="A44" s="60"/>
      <c r="B44" s="7" t="s">
        <v>121</v>
      </c>
      <c r="C44" s="8"/>
      <c r="D44" s="61"/>
      <c r="F44" s="16" t="s">
        <v>54</v>
      </c>
      <c r="G44" s="24">
        <v>0</v>
      </c>
      <c r="H44" s="65">
        <f>IF(H$42&lt;$X$6,$X$7,$X$9)</f>
        <v>8200</v>
      </c>
      <c r="I44" s="65">
        <f ca="1">IF(I$42&lt;=$X$6,OFFSET($R$28,I42-1,0),H44)</f>
        <v>5403.226719501839</v>
      </c>
      <c r="J44" s="65">
        <f>IF(J$42&lt;$X$6,$X$7,$X$9)</f>
        <v>8200</v>
      </c>
      <c r="K44" s="65">
        <f ca="1">IF(K$42&lt;=$X$6,OFFSET($R$28,K42-1,0),J44)</f>
        <v>5861.168384879725</v>
      </c>
      <c r="L44" s="65">
        <f>IF(L$42&lt;$X$6,$X$7,$X$9)</f>
        <v>8200</v>
      </c>
      <c r="M44" s="65">
        <f ca="1">IF(M$42&lt;=$X$6,OFFSET($R$28,M42-1,0),L44)</f>
        <v>6204.2067307692305</v>
      </c>
      <c r="N44" s="65">
        <f>IF(N$42&lt;$X$6,$X$7,$X$9)</f>
        <v>8200</v>
      </c>
      <c r="O44" s="65">
        <f ca="1">IF(O$42&lt;=$X$6,OFFSET($R$28,O42-1,0),N44)</f>
        <v>6558.697378872121</v>
      </c>
      <c r="P44" s="65">
        <f>IF(P$42&lt;$X$6,$X$7,$X$9)</f>
        <v>8300</v>
      </c>
      <c r="Q44" s="65">
        <f ca="1">IF(Q$42&lt;=$X$6,OFFSET($R$28,Q42-1,0),P44)</f>
        <v>8300</v>
      </c>
      <c r="R44" s="65">
        <f>IF(R$42&lt;$X$6,$X$7,$X$9)</f>
        <v>8300</v>
      </c>
      <c r="S44" s="65">
        <f ca="1">IF(S$42&lt;=$X$6,OFFSET($R$28,S42-1,0),R44)</f>
        <v>8300</v>
      </c>
      <c r="T44" s="65">
        <f>IF(T$42&lt;$X$6,$X$7,$X$9)</f>
        <v>8300</v>
      </c>
      <c r="U44" s="65">
        <f ca="1">IF(U$42&lt;=$X$6,OFFSET($R$28,U42-1,0),T44)</f>
        <v>8300</v>
      </c>
      <c r="V44" s="65">
        <f>IF(V$42&lt;$X$6,$X$7,$X$9)</f>
        <v>8300</v>
      </c>
    </row>
    <row r="45" spans="1:22" ht="12.75" customHeight="1">
      <c r="A45" s="1"/>
      <c r="B45" s="67" t="s">
        <v>113</v>
      </c>
      <c r="C45" s="69" t="s">
        <v>37</v>
      </c>
      <c r="D45" s="33"/>
      <c r="F45" s="16" t="s">
        <v>53</v>
      </c>
      <c r="G45" s="66">
        <f>G43</f>
        <v>0</v>
      </c>
      <c r="H45" s="66">
        <f aca="true" t="shared" si="4" ref="H45:V45">H43</f>
        <v>76.0300642138324</v>
      </c>
      <c r="I45" s="66">
        <f t="shared" si="4"/>
        <v>76.0300642138324</v>
      </c>
      <c r="J45" s="66">
        <f t="shared" si="4"/>
        <v>115.38411377468636</v>
      </c>
      <c r="K45" s="66">
        <f t="shared" si="4"/>
        <v>115.38411377468636</v>
      </c>
      <c r="L45" s="66">
        <f t="shared" si="4"/>
        <v>161.426813021316</v>
      </c>
      <c r="M45" s="66">
        <f t="shared" si="4"/>
        <v>161.426813021316</v>
      </c>
      <c r="N45" s="66">
        <f t="shared" si="4"/>
        <v>213.35521593921356</v>
      </c>
      <c r="O45" s="66">
        <f t="shared" si="4"/>
        <v>213.35521593921356</v>
      </c>
      <c r="P45" s="66">
        <f t="shared" si="4"/>
        <v>270</v>
      </c>
      <c r="Q45" s="66">
        <f t="shared" si="4"/>
        <v>270</v>
      </c>
      <c r="R45" s="66">
        <f t="shared" si="4"/>
        <v>270</v>
      </c>
      <c r="S45" s="66">
        <f t="shared" si="4"/>
        <v>270</v>
      </c>
      <c r="T45" s="66">
        <f t="shared" si="4"/>
        <v>270</v>
      </c>
      <c r="U45" s="66">
        <f t="shared" si="4"/>
        <v>270</v>
      </c>
      <c r="V45" s="66">
        <f t="shared" si="4"/>
        <v>270</v>
      </c>
    </row>
    <row r="46" spans="1:22" ht="12.75" customHeight="1">
      <c r="A46" s="1"/>
      <c r="B46" s="73" t="s">
        <v>114</v>
      </c>
      <c r="C46" s="74" t="s">
        <v>37</v>
      </c>
      <c r="D46" s="33"/>
      <c r="F46" s="16" t="s">
        <v>55</v>
      </c>
      <c r="G46" s="30">
        <f aca="true" t="shared" si="5" ref="G46:V46">$X$7</f>
        <v>8200</v>
      </c>
      <c r="H46" s="65">
        <f t="shared" si="5"/>
        <v>8200</v>
      </c>
      <c r="I46" s="65">
        <f t="shared" si="5"/>
        <v>8200</v>
      </c>
      <c r="J46" s="65">
        <f t="shared" si="5"/>
        <v>8200</v>
      </c>
      <c r="K46" s="65">
        <f t="shared" si="5"/>
        <v>8200</v>
      </c>
      <c r="L46" s="65">
        <f t="shared" si="5"/>
        <v>8200</v>
      </c>
      <c r="M46" s="65">
        <f t="shared" si="5"/>
        <v>8200</v>
      </c>
      <c r="N46" s="65">
        <f t="shared" si="5"/>
        <v>8200</v>
      </c>
      <c r="O46" s="65">
        <f t="shared" si="5"/>
        <v>8200</v>
      </c>
      <c r="P46" s="65">
        <f t="shared" si="5"/>
        <v>8200</v>
      </c>
      <c r="Q46" s="65">
        <f t="shared" si="5"/>
        <v>8200</v>
      </c>
      <c r="R46" s="65">
        <f t="shared" si="5"/>
        <v>8200</v>
      </c>
      <c r="S46" s="65">
        <f t="shared" si="5"/>
        <v>8200</v>
      </c>
      <c r="T46" s="65">
        <f t="shared" si="5"/>
        <v>8200</v>
      </c>
      <c r="U46" s="65">
        <f t="shared" si="5"/>
        <v>8200</v>
      </c>
      <c r="V46" s="65">
        <f t="shared" si="5"/>
        <v>8200</v>
      </c>
    </row>
    <row r="47" spans="2:22" ht="12.75" customHeight="1">
      <c r="B47" s="68" t="s">
        <v>115</v>
      </c>
      <c r="C47" s="70" t="s">
        <v>37</v>
      </c>
      <c r="F47" s="16" t="s">
        <v>56</v>
      </c>
      <c r="G47" s="30">
        <f aca="true" t="shared" si="6" ref="G47:V47">$X$8</f>
        <v>5800</v>
      </c>
      <c r="H47" s="65">
        <f t="shared" si="6"/>
        <v>5800</v>
      </c>
      <c r="I47" s="65">
        <f t="shared" si="6"/>
        <v>5800</v>
      </c>
      <c r="J47" s="65">
        <f t="shared" si="6"/>
        <v>5800</v>
      </c>
      <c r="K47" s="65">
        <f t="shared" si="6"/>
        <v>5800</v>
      </c>
      <c r="L47" s="65">
        <f t="shared" si="6"/>
        <v>5800</v>
      </c>
      <c r="M47" s="65">
        <f t="shared" si="6"/>
        <v>5800</v>
      </c>
      <c r="N47" s="65">
        <f t="shared" si="6"/>
        <v>5800</v>
      </c>
      <c r="O47" s="65">
        <f t="shared" si="6"/>
        <v>5800</v>
      </c>
      <c r="P47" s="65">
        <f t="shared" si="6"/>
        <v>5800</v>
      </c>
      <c r="Q47" s="65">
        <f t="shared" si="6"/>
        <v>5800</v>
      </c>
      <c r="R47" s="65">
        <f t="shared" si="6"/>
        <v>5800</v>
      </c>
      <c r="S47" s="65">
        <f t="shared" si="6"/>
        <v>5800</v>
      </c>
      <c r="T47" s="65">
        <f t="shared" si="6"/>
        <v>5800</v>
      </c>
      <c r="U47" s="65">
        <f t="shared" si="6"/>
        <v>5800</v>
      </c>
      <c r="V47" s="65">
        <f t="shared" si="6"/>
        <v>5800</v>
      </c>
    </row>
    <row r="48" spans="2:3" ht="12.75" customHeight="1">
      <c r="B48" s="67" t="s">
        <v>116</v>
      </c>
      <c r="C48" s="69">
        <v>10</v>
      </c>
    </row>
    <row r="49" spans="2:3" ht="12.75" customHeight="1">
      <c r="B49" s="73" t="s">
        <v>117</v>
      </c>
      <c r="C49" s="74">
        <v>40</v>
      </c>
    </row>
    <row r="50" spans="2:3" ht="12.75" customHeight="1">
      <c r="B50" s="68" t="s">
        <v>118</v>
      </c>
      <c r="C50" s="70">
        <v>20</v>
      </c>
    </row>
    <row r="52" spans="2:3" ht="12.75" customHeight="1">
      <c r="B52" s="7" t="s">
        <v>122</v>
      </c>
      <c r="C52" s="8"/>
    </row>
    <row r="53" spans="2:3" ht="12.75" customHeight="1">
      <c r="B53" s="67" t="s">
        <v>111</v>
      </c>
      <c r="C53" s="69" t="s">
        <v>37</v>
      </c>
    </row>
    <row r="54" spans="2:3" ht="12.75" customHeight="1">
      <c r="B54" s="68" t="s">
        <v>112</v>
      </c>
      <c r="C54" s="70" t="s">
        <v>37</v>
      </c>
    </row>
    <row r="55" spans="2:3" ht="12.75" customHeight="1">
      <c r="B55" s="1"/>
      <c r="C55" s="1"/>
    </row>
    <row r="56" spans="2:3" ht="12.75" customHeight="1">
      <c r="B56" s="7" t="s">
        <v>123</v>
      </c>
      <c r="C56" s="8"/>
    </row>
    <row r="57" spans="2:3" ht="12.75" customHeight="1">
      <c r="B57" s="67" t="s">
        <v>111</v>
      </c>
      <c r="C57" s="69">
        <v>0</v>
      </c>
    </row>
    <row r="58" spans="2:3" ht="12.75" customHeight="1">
      <c r="B58" s="68" t="s">
        <v>112</v>
      </c>
      <c r="C58" s="70">
        <v>0</v>
      </c>
    </row>
    <row r="60" spans="2:3" ht="12.75" customHeight="1">
      <c r="B60" s="252" t="s">
        <v>147</v>
      </c>
      <c r="C60" s="253"/>
    </row>
    <row r="61" spans="2:3" ht="12.75" customHeight="1">
      <c r="B61" s="76" t="s">
        <v>46</v>
      </c>
      <c r="C61" s="49" t="s">
        <v>47</v>
      </c>
    </row>
    <row r="62" spans="2:3" ht="12.75" customHeight="1">
      <c r="B62" s="76" t="s">
        <v>48</v>
      </c>
      <c r="C62" s="49" t="s">
        <v>49</v>
      </c>
    </row>
    <row r="72" spans="2:3" ht="12.75" customHeight="1">
      <c r="B72" s="1"/>
      <c r="C72" s="1"/>
    </row>
    <row r="80" spans="2:3" ht="12.75" customHeight="1">
      <c r="B80" s="2"/>
      <c r="C80" s="2"/>
    </row>
    <row r="88" ht="12.75" customHeight="1">
      <c r="C88" s="50"/>
    </row>
    <row r="89" ht="12.75" customHeight="1">
      <c r="C89" s="50"/>
    </row>
    <row r="90" ht="12.75" customHeight="1">
      <c r="C90" s="50"/>
    </row>
    <row r="91" ht="12.75" customHeight="1">
      <c r="C91" s="50"/>
    </row>
    <row r="92" ht="12.75" customHeight="1">
      <c r="C92" s="50"/>
    </row>
    <row r="93" ht="12.75" customHeight="1">
      <c r="C93" s="50"/>
    </row>
    <row r="94" ht="12.75" customHeight="1">
      <c r="C94" s="50"/>
    </row>
    <row r="95" ht="12.75" customHeight="1">
      <c r="C95" s="50"/>
    </row>
    <row r="96" ht="12.75" customHeight="1">
      <c r="C96" s="50"/>
    </row>
    <row r="97" ht="12.75" customHeight="1">
      <c r="C97" s="50"/>
    </row>
    <row r="98" ht="12.75" customHeight="1">
      <c r="C98" s="50"/>
    </row>
    <row r="99" ht="12.75" customHeight="1">
      <c r="C99" s="50"/>
    </row>
    <row r="100" ht="12.75" customHeight="1">
      <c r="C100" s="50"/>
    </row>
  </sheetData>
  <sheetProtection sheet="1" objects="1" scenarios="1" selectLockedCells="1"/>
  <mergeCells count="106">
    <mergeCell ref="B2:Z3"/>
    <mergeCell ref="B8:C8"/>
    <mergeCell ref="K8:W8"/>
    <mergeCell ref="X8:Z8"/>
    <mergeCell ref="K9:W9"/>
    <mergeCell ref="X9:Z9"/>
    <mergeCell ref="B5:C5"/>
    <mergeCell ref="B6:C6"/>
    <mergeCell ref="K5:Z5"/>
    <mergeCell ref="K6:W6"/>
    <mergeCell ref="X6:Z6"/>
    <mergeCell ref="K7:W7"/>
    <mergeCell ref="X7:Z7"/>
    <mergeCell ref="K15:W15"/>
    <mergeCell ref="X15:Z15"/>
    <mergeCell ref="K11:Z11"/>
    <mergeCell ref="K12:W12"/>
    <mergeCell ref="X12:Z12"/>
    <mergeCell ref="K13:W13"/>
    <mergeCell ref="X13:Z13"/>
    <mergeCell ref="K14:W14"/>
    <mergeCell ref="X14:Z14"/>
    <mergeCell ref="K19:W19"/>
    <mergeCell ref="X19:Z19"/>
    <mergeCell ref="K16:W16"/>
    <mergeCell ref="X16:Z16"/>
    <mergeCell ref="K17:W17"/>
    <mergeCell ref="X17:Z17"/>
    <mergeCell ref="K20:W20"/>
    <mergeCell ref="X20:Z20"/>
    <mergeCell ref="E24:E27"/>
    <mergeCell ref="F24:H27"/>
    <mergeCell ref="I24:K27"/>
    <mergeCell ref="L24:N27"/>
    <mergeCell ref="E22:Z22"/>
    <mergeCell ref="E23:Z23"/>
    <mergeCell ref="O27:Q27"/>
    <mergeCell ref="R27:T27"/>
    <mergeCell ref="O24:Q26"/>
    <mergeCell ref="R24:T26"/>
    <mergeCell ref="U24:W27"/>
    <mergeCell ref="X24:Z27"/>
    <mergeCell ref="X28:Z28"/>
    <mergeCell ref="F28:H28"/>
    <mergeCell ref="I28:K28"/>
    <mergeCell ref="L28:N28"/>
    <mergeCell ref="O28:Q28"/>
    <mergeCell ref="R28:T28"/>
    <mergeCell ref="U30:W30"/>
    <mergeCell ref="X30:Z30"/>
    <mergeCell ref="F29:H29"/>
    <mergeCell ref="I29:K29"/>
    <mergeCell ref="L29:N29"/>
    <mergeCell ref="O29:Q29"/>
    <mergeCell ref="R29:T29"/>
    <mergeCell ref="U29:W29"/>
    <mergeCell ref="R31:T31"/>
    <mergeCell ref="F32:H32"/>
    <mergeCell ref="I32:K32"/>
    <mergeCell ref="X29:Z29"/>
    <mergeCell ref="U28:W28"/>
    <mergeCell ref="F30:H30"/>
    <mergeCell ref="I30:K30"/>
    <mergeCell ref="L30:N30"/>
    <mergeCell ref="O30:Q30"/>
    <mergeCell ref="R30:T30"/>
    <mergeCell ref="U32:W32"/>
    <mergeCell ref="X32:Z32"/>
    <mergeCell ref="U31:W31"/>
    <mergeCell ref="E36:I36"/>
    <mergeCell ref="O36:T36"/>
    <mergeCell ref="X31:Z31"/>
    <mergeCell ref="F31:H31"/>
    <mergeCell ref="I31:K31"/>
    <mergeCell ref="L31:N31"/>
    <mergeCell ref="O31:Q31"/>
    <mergeCell ref="R35:T35"/>
    <mergeCell ref="F34:H34"/>
    <mergeCell ref="F33:H33"/>
    <mergeCell ref="I33:K33"/>
    <mergeCell ref="L33:N33"/>
    <mergeCell ref="O33:Q33"/>
    <mergeCell ref="R33:T33"/>
    <mergeCell ref="R34:T34"/>
    <mergeCell ref="I34:K34"/>
    <mergeCell ref="L34:N34"/>
    <mergeCell ref="B15:C15"/>
    <mergeCell ref="B16:C20"/>
    <mergeCell ref="U34:W34"/>
    <mergeCell ref="X34:Z34"/>
    <mergeCell ref="U33:W33"/>
    <mergeCell ref="X33:Z33"/>
    <mergeCell ref="O34:Q34"/>
    <mergeCell ref="L32:N32"/>
    <mergeCell ref="O32:Q32"/>
    <mergeCell ref="R32:T32"/>
    <mergeCell ref="B60:C60"/>
    <mergeCell ref="U36:W36"/>
    <mergeCell ref="X36:Z36"/>
    <mergeCell ref="U35:W35"/>
    <mergeCell ref="X35:Z35"/>
    <mergeCell ref="J36:L36"/>
    <mergeCell ref="F35:H35"/>
    <mergeCell ref="I35:K35"/>
    <mergeCell ref="L35:N35"/>
    <mergeCell ref="O35:Q35"/>
  </mergeCells>
  <conditionalFormatting sqref="E28:Z35">
    <cfRule type="expression" priority="17" dxfId="26" stopIfTrue="1">
      <formula>$E28&gt;$X$6</formula>
    </cfRule>
  </conditionalFormatting>
  <dataValidations count="12">
    <dataValidation type="list" showErrorMessage="1" errorTitle="Invalid Entry" error="Enter KGFM for kilogram-meters, LB-FT for pound-feet, or NM for Newton-meters." sqref="C62">
      <formula1>"KGFM,LB-FT,NM"</formula1>
      <formula2>0</formula2>
    </dataValidation>
    <dataValidation type="list" showErrorMessage="1" errorTitle="Invalid Entry" error="Enter HP for mechanical horsepower, KW for kilowatts, or PS for metric horsepower." sqref="C61">
      <formula1>"HP,KW,PS,"</formula1>
      <formula2>0</formula2>
    </dataValidation>
    <dataValidation errorTitle="Invalid Entry" sqref="B16">
      <formula1>0</formula1>
      <formula2>5</formula2>
    </dataValidation>
    <dataValidation type="list" showErrorMessage="1" errorTitle="Invalid Entry" error="Please enter a valid front weight distribution." sqref="C13">
      <formula1>"FF,4WD,FR,MR,RR"</formula1>
    </dataValidation>
    <dataValidation type="decimal" showErrorMessage="1" errorTitle="Invalid Entry" error="Please enter a valid front weight distribution." sqref="C12">
      <formula1>0</formula1>
      <formula2>1</formula2>
    </dataValidation>
    <dataValidation type="whole" showErrorMessage="1" errorTitle="Invalid Entry" error="Please enter a valid weight." sqref="C11">
      <formula1>0</formula1>
      <formula2>10000</formula2>
    </dataValidation>
    <dataValidation type="decimal" showErrorMessage="1" errorTitle="Invalid Entry" error="Please enter a valid horsepower rating." sqref="C9">
      <formula1>0</formula1>
      <formula2>10000</formula2>
    </dataValidation>
    <dataValidation type="decimal" showErrorMessage="1" errorTitle="Invalid Entry" error="Please enter a valid torque rating." sqref="C10">
      <formula1>0</formula1>
      <formula2>10000</formula2>
    </dataValidation>
    <dataValidation type="decimal" showErrorMessage="1" errorTitle="Invalid Entry" error="Please enter a valid spring rate." sqref="C25:C26">
      <formula1>0</formula1>
      <formula2>100</formula2>
    </dataValidation>
    <dataValidation type="whole" showErrorMessage="1" errorTitle="Invalid Entry" error="Please enter a valid ride height." sqref="C24 C27:C32">
      <formula1>0</formula1>
      <formula2>1000</formula2>
    </dataValidation>
    <dataValidation type="list" allowBlank="1" showInputMessage="1" showErrorMessage="1" sqref="X6">
      <formula1>"1,2,3,4,5,6,7,8"</formula1>
    </dataValidation>
    <dataValidation allowBlank="1" showInputMessage="1" showErrorMessage="1" sqref="C24:C32 X12:Z17 X19:Z20 X7:Z8 C57:C58 C53:C54 C45:C50 C41:C42 C35:C38"/>
  </dataValidation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2014-07-28T16:50:53Z</dcterms:created>
  <dcterms:modified xsi:type="dcterms:W3CDTF">2014-08-13T13:43:55Z</dcterms:modified>
  <cp:category/>
  <cp:version/>
  <cp:contentType/>
  <cp:contentStatus/>
</cp:coreProperties>
</file>